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4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 Results" sheetId="26" r:id="rId5"/>
    <sheet name="Open 1" sheetId="25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4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32" i="25"/>
  <c r="S30"/>
  <c r="S39"/>
  <c r="S68"/>
  <c r="S10"/>
  <c r="S57"/>
  <c r="S51"/>
  <c r="S63"/>
  <c r="S58"/>
  <c r="S26"/>
  <c r="S36"/>
  <c r="S24"/>
  <c r="S28"/>
  <c r="S3"/>
  <c r="S45"/>
  <c r="S47"/>
  <c r="S6"/>
  <c r="S4"/>
  <c r="S27"/>
  <c r="S66"/>
  <c r="S22"/>
  <c r="S59"/>
  <c r="S21"/>
  <c r="S53"/>
  <c r="S50"/>
  <c r="S19"/>
  <c r="S33"/>
  <c r="S64"/>
  <c r="S52"/>
  <c r="S16"/>
  <c r="S15"/>
  <c r="S8"/>
  <c r="S5"/>
  <c r="S54"/>
  <c r="S60"/>
  <c r="S12"/>
  <c r="S20"/>
  <c r="S11"/>
  <c r="S46"/>
  <c r="S13"/>
  <c r="S18"/>
  <c r="S42"/>
  <c r="S35"/>
  <c r="S62"/>
  <c r="S7"/>
  <c r="S34"/>
  <c r="S14"/>
  <c r="S44"/>
  <c r="S40"/>
  <c r="S41"/>
  <c r="S29"/>
  <c r="S38"/>
  <c r="S23"/>
  <c r="S9"/>
  <c r="S48"/>
  <c r="S17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4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224" i="25"/>
  <c r="S80"/>
  <c r="S250"/>
  <c r="S152"/>
  <c r="S113"/>
  <c r="S163"/>
  <c r="S87"/>
  <c r="S125"/>
  <c r="S267"/>
  <c r="S226"/>
  <c r="S166"/>
  <c r="S227"/>
  <c r="S119"/>
  <c r="S102"/>
  <c r="S194"/>
  <c r="S251"/>
  <c r="S69"/>
  <c r="S273"/>
  <c r="S110"/>
  <c r="S167"/>
  <c r="S99"/>
  <c r="S148"/>
  <c r="S223"/>
  <c r="S228"/>
  <c r="S177"/>
  <c r="S261"/>
  <c r="S180"/>
  <c r="S208"/>
  <c r="S283"/>
  <c r="S173"/>
  <c r="S175"/>
  <c r="S120"/>
  <c r="S189"/>
  <c r="S278"/>
  <c r="S135"/>
  <c r="S206"/>
  <c r="S186"/>
  <c r="S263"/>
  <c r="S129"/>
  <c r="S153"/>
  <c r="S90"/>
  <c r="S190"/>
  <c r="S143"/>
  <c r="S84"/>
  <c r="S235"/>
  <c r="S280"/>
  <c r="S92"/>
  <c r="S157"/>
  <c r="S269"/>
  <c r="S171"/>
  <c r="S281"/>
  <c r="S285"/>
  <c r="S203"/>
  <c r="S104"/>
  <c r="S244"/>
  <c r="S218"/>
  <c r="S89"/>
  <c r="S204"/>
  <c r="S111"/>
  <c r="S210"/>
  <c r="S67"/>
  <c r="S112"/>
  <c r="S77"/>
  <c r="S146"/>
  <c r="S82"/>
  <c r="S238"/>
  <c r="S94"/>
  <c r="S174"/>
  <c r="S116"/>
  <c r="S155"/>
  <c r="S282"/>
  <c r="S118"/>
  <c r="S156"/>
  <c r="S134"/>
  <c r="S73"/>
  <c r="S191"/>
  <c r="S196"/>
  <c r="S197"/>
  <c r="S141"/>
  <c r="S78"/>
  <c r="S103"/>
  <c r="S202"/>
  <c r="S249"/>
  <c r="S270"/>
  <c r="S253"/>
  <c r="S97"/>
  <c r="S123"/>
  <c r="S201"/>
  <c r="S262"/>
  <c r="S71"/>
  <c r="S108"/>
  <c r="S72"/>
  <c r="S142"/>
  <c r="S242"/>
  <c r="S185"/>
  <c r="S286"/>
  <c r="S124"/>
  <c r="S74"/>
  <c r="S182"/>
  <c r="S213"/>
  <c r="S49"/>
  <c r="S151"/>
  <c r="S232"/>
  <c r="S79"/>
  <c r="S193"/>
  <c r="S229"/>
  <c r="S231"/>
  <c r="S284"/>
  <c r="S216"/>
  <c r="S161"/>
  <c r="S75"/>
  <c r="S140"/>
  <c r="S195"/>
  <c r="S192"/>
  <c r="S76"/>
  <c r="S209"/>
  <c r="S264"/>
  <c r="S158"/>
  <c r="S233"/>
  <c r="S139"/>
  <c r="S184"/>
  <c r="S187"/>
  <c r="S257"/>
  <c r="S93"/>
  <c r="S179"/>
  <c r="S237"/>
  <c r="S243"/>
  <c r="S271"/>
  <c r="S183"/>
  <c r="S160"/>
  <c r="S25"/>
  <c r="S83"/>
  <c r="S43"/>
  <c r="S205"/>
  <c r="S246"/>
  <c r="S230"/>
  <c r="S105"/>
  <c r="S211"/>
  <c r="S176"/>
  <c r="S98"/>
  <c r="S256"/>
  <c r="S2"/>
  <c r="S266"/>
  <c r="S219"/>
  <c r="S268"/>
  <c r="S245"/>
  <c r="S85"/>
  <c r="S188"/>
  <c r="S222"/>
  <c r="S198"/>
  <c r="S65"/>
  <c r="S145"/>
  <c r="S144"/>
  <c r="S128"/>
  <c r="S133"/>
  <c r="S200"/>
  <c r="S215"/>
  <c r="S106"/>
  <c r="S255"/>
  <c r="S96"/>
  <c r="S70"/>
  <c r="S275"/>
  <c r="S131"/>
  <c r="S154"/>
  <c r="S265"/>
  <c r="S236"/>
  <c r="S137"/>
  <c r="S260"/>
  <c r="S234"/>
  <c r="S159"/>
  <c r="S138"/>
  <c r="S61"/>
  <c r="S91"/>
  <c r="S272"/>
  <c r="S168"/>
  <c r="S258"/>
  <c r="S214"/>
  <c r="S117"/>
  <c r="S147"/>
  <c r="S212"/>
  <c r="S199"/>
  <c r="S247"/>
  <c r="S56"/>
  <c r="S225"/>
  <c r="S277"/>
  <c r="S221"/>
  <c r="S162"/>
  <c r="S248"/>
  <c r="S165"/>
  <c r="S37"/>
  <c r="S172"/>
  <c r="S259"/>
  <c r="S126"/>
  <c r="S150"/>
  <c r="S178"/>
  <c r="S207"/>
  <c r="S164"/>
  <c r="S274"/>
  <c r="S107"/>
  <c r="S127"/>
  <c r="S149"/>
  <c r="S86"/>
  <c r="S181"/>
  <c r="S81"/>
  <c r="S252"/>
  <c r="S276"/>
  <c r="S169"/>
  <c r="S239"/>
  <c r="S55"/>
  <c r="S101"/>
  <c r="S170"/>
  <c r="S115"/>
  <c r="S121"/>
  <c r="S95"/>
  <c r="S217"/>
  <c r="S240"/>
  <c r="S254"/>
  <c r="S130"/>
  <c r="S136"/>
  <c r="S100"/>
  <c r="S109"/>
  <c r="S122"/>
  <c r="S279"/>
  <c r="S132"/>
  <c r="S220"/>
  <c r="S88"/>
  <c r="S241"/>
  <c r="S31"/>
  <c r="S114"/>
  <c r="G2" l="1"/>
  <c r="G2" i="29"/>
  <c r="A4" i="30"/>
  <c r="A7"/>
  <c r="A8"/>
  <c r="A35"/>
  <c r="A128"/>
  <c r="A200"/>
  <c r="A211"/>
  <c r="A143"/>
  <c r="A127"/>
  <c r="A104"/>
  <c r="A40"/>
  <c r="A19"/>
  <c r="A51"/>
  <c r="A136"/>
  <c r="A144"/>
  <c r="A216"/>
  <c r="A240"/>
  <c r="A151"/>
  <c r="A95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A10" s="1"/>
  <c r="G10" s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1" i="19"/>
  <c r="S23"/>
  <c r="S20"/>
  <c r="S31"/>
  <c r="S14"/>
  <c r="S12"/>
  <c r="S22"/>
  <c r="S43"/>
  <c r="S10"/>
  <c r="S47"/>
  <c r="S16"/>
  <c r="S8"/>
  <c r="S27"/>
  <c r="S7"/>
  <c r="S19"/>
  <c r="S9"/>
  <c r="S39"/>
  <c r="S13"/>
  <c r="S35"/>
  <c r="S15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B9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S146" i="19"/>
  <c r="S77"/>
  <c r="S253"/>
  <c r="S106"/>
  <c r="S191"/>
  <c r="S144"/>
  <c r="S112"/>
  <c r="S124"/>
  <c r="S215"/>
  <c r="S203"/>
  <c r="S204"/>
  <c r="S187"/>
  <c r="S163"/>
  <c r="S179"/>
  <c r="S268"/>
  <c r="S226"/>
  <c r="S96"/>
  <c r="S270"/>
  <c r="S54"/>
  <c r="S167"/>
  <c r="S242"/>
  <c r="S240"/>
  <c r="S86"/>
  <c r="S24"/>
  <c r="S4"/>
  <c r="S214"/>
  <c r="S18"/>
  <c r="S196"/>
  <c r="S197"/>
  <c r="S49"/>
  <c r="S92"/>
  <c r="S21"/>
  <c r="S247"/>
  <c r="S70"/>
  <c r="S103"/>
  <c r="S33"/>
  <c r="S118"/>
  <c r="S170"/>
  <c r="S26"/>
  <c r="S256"/>
  <c r="S52"/>
  <c r="S50"/>
  <c r="S36"/>
  <c r="S166"/>
  <c r="S173"/>
  <c r="S133"/>
  <c r="S128"/>
  <c r="S286"/>
  <c r="S142"/>
  <c r="S251"/>
  <c r="S101"/>
  <c r="S156"/>
  <c r="S109"/>
  <c r="S28"/>
  <c r="S29"/>
  <c r="S136"/>
  <c r="S232"/>
  <c r="S123"/>
  <c r="S245"/>
  <c r="S272"/>
  <c r="S91"/>
  <c r="S285"/>
  <c r="S202"/>
  <c r="S34"/>
  <c r="S201"/>
  <c r="S165"/>
  <c r="S255"/>
  <c r="S275"/>
  <c r="S278"/>
  <c r="S284"/>
  <c r="S209"/>
  <c r="S216"/>
  <c r="S83"/>
  <c r="S231"/>
  <c r="S206"/>
  <c r="S230"/>
  <c r="S51"/>
  <c r="S250"/>
  <c r="S139"/>
  <c r="S175"/>
  <c r="S162"/>
  <c r="S122"/>
  <c r="S68"/>
  <c r="S211"/>
  <c r="S257"/>
  <c r="S188"/>
  <c r="S208"/>
  <c r="S84"/>
  <c r="S199"/>
  <c r="S104"/>
  <c r="S137"/>
  <c r="S58"/>
  <c r="S186"/>
  <c r="S42"/>
  <c r="S169"/>
  <c r="S127"/>
  <c r="S192"/>
  <c r="S78"/>
  <c r="S220"/>
  <c r="S74"/>
  <c r="S252"/>
  <c r="S44"/>
  <c r="S3"/>
  <c r="S100"/>
  <c r="S85"/>
  <c r="S221"/>
  <c r="S59"/>
  <c r="S130"/>
  <c r="S116"/>
  <c r="S45"/>
  <c r="S94"/>
  <c r="S134"/>
  <c r="S120"/>
  <c r="S154"/>
  <c r="S87"/>
  <c r="S223"/>
  <c r="S32"/>
  <c r="S273"/>
  <c r="S281"/>
  <c r="S182"/>
  <c r="S266"/>
  <c r="S57"/>
  <c r="S218"/>
  <c r="S60"/>
  <c r="S212"/>
  <c r="S254"/>
  <c r="S55"/>
  <c r="S210"/>
  <c r="S276"/>
  <c r="S5"/>
  <c r="S193"/>
  <c r="S228"/>
  <c r="S148"/>
  <c r="S69"/>
  <c r="S157"/>
  <c r="S229"/>
  <c r="S132"/>
  <c r="S114"/>
  <c r="S66"/>
  <c r="S119"/>
  <c r="S176"/>
  <c r="S53"/>
  <c r="S277"/>
  <c r="S261"/>
  <c r="S138"/>
  <c r="S271"/>
  <c r="S224"/>
  <c r="S159"/>
  <c r="S155"/>
  <c r="S260"/>
  <c r="S282"/>
  <c r="S238"/>
  <c r="S129"/>
  <c r="S237"/>
  <c r="S258"/>
  <c r="S153"/>
  <c r="S185"/>
  <c r="S102"/>
  <c r="S56"/>
  <c r="S180"/>
  <c r="S61"/>
  <c r="S225"/>
  <c r="S189"/>
  <c r="S194"/>
  <c r="S262"/>
  <c r="S233"/>
  <c r="S205"/>
  <c r="S236"/>
  <c r="S99"/>
  <c r="S190"/>
  <c r="S126"/>
  <c r="S158"/>
  <c r="S164"/>
  <c r="S178"/>
  <c r="S259"/>
  <c r="S113"/>
  <c r="S41"/>
  <c r="S62"/>
  <c r="S131"/>
  <c r="S222"/>
  <c r="S89"/>
  <c r="S227"/>
  <c r="S183"/>
  <c r="S269"/>
  <c r="S280"/>
  <c r="S219"/>
  <c r="S150"/>
  <c r="S82"/>
  <c r="S168"/>
  <c r="S241"/>
  <c r="S111"/>
  <c r="S88"/>
  <c r="S98"/>
  <c r="S198"/>
  <c r="S140"/>
  <c r="S200"/>
  <c r="S93"/>
  <c r="S246"/>
  <c r="S243"/>
  <c r="S79"/>
  <c r="S265"/>
  <c r="S135"/>
  <c r="S234"/>
  <c r="S80"/>
  <c r="S30"/>
  <c r="S121"/>
  <c r="S267"/>
  <c r="S115"/>
  <c r="S151"/>
  <c r="S274"/>
  <c r="S17"/>
  <c r="S181"/>
  <c r="S63"/>
  <c r="S73"/>
  <c r="S174"/>
  <c r="S37"/>
  <c r="S141"/>
  <c r="S147"/>
  <c r="S95"/>
  <c r="S72"/>
  <c r="S108"/>
  <c r="S81"/>
  <c r="S152"/>
  <c r="S244"/>
  <c r="S184"/>
  <c r="S97"/>
  <c r="S25"/>
  <c r="S213"/>
  <c r="S160"/>
  <c r="S48"/>
  <c r="S149"/>
  <c r="S117"/>
  <c r="S171"/>
  <c r="S64"/>
  <c r="S125"/>
  <c r="S2"/>
  <c r="S177"/>
  <c r="S40"/>
  <c r="S279"/>
  <c r="S239"/>
  <c r="S76"/>
  <c r="S105"/>
  <c r="S249"/>
  <c r="S217"/>
  <c r="S46"/>
  <c r="S71"/>
  <c r="S67"/>
  <c r="S145"/>
  <c r="S107"/>
  <c r="S90"/>
  <c r="S6"/>
  <c r="S248"/>
  <c r="S263"/>
  <c r="S143"/>
  <c r="S264"/>
  <c r="S38"/>
  <c r="S235"/>
  <c r="S207"/>
  <c r="S172"/>
  <c r="S161"/>
  <c r="S75"/>
  <c r="S110"/>
  <c r="S65"/>
  <c r="S195"/>
  <c r="S283"/>
  <c r="B3" i="30" l="1"/>
  <c r="B13"/>
  <c r="B6"/>
  <c r="B12"/>
  <c r="AC6" i="25"/>
  <c r="AC7" s="1"/>
  <c r="J9" s="1"/>
  <c r="AO11"/>
  <c r="J13"/>
  <c r="A5" i="13"/>
  <c r="A10"/>
  <c r="A9"/>
  <c r="A6"/>
  <c r="A14"/>
  <c r="A7"/>
  <c r="A5" i="29"/>
  <c r="A13" i="30" s="1"/>
  <c r="B5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Z117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13"/>
  <c r="C13"/>
  <c r="B13"/>
  <c r="D65" l="1"/>
  <c r="B65"/>
  <c r="B44"/>
  <c r="X74" i="25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J28" i="25" l="1"/>
  <c r="AJ10"/>
  <c r="AE23"/>
  <c r="AJ22"/>
  <c r="AE35"/>
  <c r="AD35" s="1"/>
  <c r="AK36" s="1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AD37" s="1"/>
  <c r="P4"/>
  <c r="H3" i="26" s="1"/>
  <c r="AE32" i="25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D36" s="1"/>
  <c r="AJ13"/>
  <c r="AJ18"/>
  <c r="AF19"/>
  <c r="AF27"/>
  <c r="AJ20"/>
  <c r="AD20" s="1"/>
  <c r="AK21" s="1"/>
  <c r="AJ14"/>
  <c r="AJ32"/>
  <c r="AE19"/>
  <c r="AJ30"/>
  <c r="AF18"/>
  <c r="AE31"/>
  <c r="AE28"/>
  <c r="N22" s="1"/>
  <c r="AJ37"/>
  <c r="AJ26"/>
  <c r="AE18"/>
  <c r="AF17"/>
  <c r="AE22"/>
  <c r="AF28"/>
  <c r="O22" s="1"/>
  <c r="AJ38"/>
  <c r="AE21"/>
  <c r="AD21" s="1"/>
  <c r="AK22" s="1"/>
  <c r="AJ23"/>
  <c r="AE17"/>
  <c r="AJ31"/>
  <c r="AJ25"/>
  <c r="AJ36"/>
  <c r="AF36"/>
  <c r="AE26"/>
  <c r="AF25"/>
  <c r="AE13"/>
  <c r="AD13" s="1"/>
  <c r="AJ17"/>
  <c r="AF13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2" i="25" l="1"/>
  <c r="AK33" s="1"/>
  <c r="AD31"/>
  <c r="AK32" s="1"/>
  <c r="AD30"/>
  <c r="AK31" s="1"/>
  <c r="AD29"/>
  <c r="AK30" s="1"/>
  <c r="AD26"/>
  <c r="AK27" s="1"/>
  <c r="AD19"/>
  <c r="AK20" s="1"/>
  <c r="AD14"/>
  <c r="AK15" s="1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M30"/>
  <c r="R30" s="1"/>
  <c r="AK37"/>
  <c r="M31"/>
  <c r="R31" s="1"/>
  <c r="AK38"/>
  <c r="M25"/>
  <c r="R25" s="1"/>
  <c r="M24"/>
  <c r="R24" s="1"/>
  <c r="AK14"/>
  <c r="M7"/>
  <c r="R7" s="1"/>
  <c r="Q10"/>
  <c r="Q17"/>
  <c r="Q4"/>
  <c r="M29"/>
  <c r="R29" s="1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3" i="25" l="1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N25"/>
  <c r="O25" s="1"/>
  <c r="P25" s="1"/>
  <c r="M22"/>
  <c r="R22" s="1"/>
  <c r="N30"/>
  <c r="O30" s="1"/>
  <c r="P30" s="1"/>
  <c r="N12"/>
  <c r="O12" s="1"/>
  <c r="P12" s="1"/>
  <c r="N31"/>
  <c r="O31" s="1"/>
  <c r="P31" s="1"/>
  <c r="N18"/>
  <c r="O18" s="1"/>
  <c r="P18" s="1"/>
  <c r="N19"/>
  <c r="O19" s="1"/>
  <c r="P19" s="1"/>
  <c r="N24"/>
  <c r="O24" s="1"/>
  <c r="P24" s="1"/>
  <c r="N7"/>
  <c r="O7" s="1"/>
  <c r="P7" s="1"/>
  <c r="N6"/>
  <c r="O6" s="1"/>
  <c r="P6" s="1"/>
  <c r="Q5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R23" i="25" l="1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<sst xmlns="http://schemas.openxmlformats.org/spreadsheetml/2006/main" count="641" uniqueCount="180">
  <si>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</si>
  <si>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</si>
  <si>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</si>
  <si>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</si>
  <si>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</si>
  <si>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</si>
  <si>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</si>
  <si>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</si>
  <si>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</si>
  <si>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</si>
  <si>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</si>
  <si>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</si>
  <si>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</si>
  <si>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</si>
  <si>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</si>
  <si>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</si>
  <si>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</si>
  <si>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</si>
  <si>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</si>
  <si>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</si>
  <si>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</si>
  <si>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</si>
  <si>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</si>
  <si>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</si>
  <si>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</si>
  <si>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</si>
  <si>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</si>
  <si>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</si>
  <si>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</si>
  <si>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</si>
  <si>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</si>
  <si>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</si>
  <si>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</si>
  <si>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</si>
  <si>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</si>
  <si>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</si>
  <si>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</si>
  <si>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</si>
  <si>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</si>
  <si>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</si>
  <si>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</si>
  <si>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</si>
  <si>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</si>
  <si>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</si>
  <si>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</si>
  <si>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</si>
  <si>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</si>
  <si>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</si>
  <si>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</si>
  <si>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</si>
  <si>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</si>
  <si>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</si>
  <si>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</si>
  <si>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</si>
  <si>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</si>
  <si>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</si>
  <si>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</si>
  <si>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</si>
  <si>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</si>
  <si>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</si>
  <si>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</si>
  <si>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</si>
  <si>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</si>
  <si>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</si>
  <si>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</si>
  <si>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</si>
  <si>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</si>
  <si>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</si>
  <si>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</si>
  <si>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</si>
  <si>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</si>
  <si>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</si>
  <si>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</si>
  <si>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</si>
  <si>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</si>
  <si>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</si>
  <si>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</si>
  <si>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</si>
  <si>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</si>
  <si>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</si>
  <si>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</si>
  <si>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</si>
  <si>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</si>
  <si>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</si>
  <si>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</si>
  <si>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</si>
  <si>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       PEEWEE'S </t>
  </si>
  <si>
    <t xml:space="preserve">Jozlyn Anderson   </t>
  </si>
  <si>
    <t xml:space="preserve">Jack the Money </t>
  </si>
  <si>
    <t xml:space="preserve">Josey Booth </t>
  </si>
  <si>
    <t xml:space="preserve">Sweet Red Bobby Sox </t>
  </si>
  <si>
    <t xml:space="preserve">Faren Bebeau </t>
  </si>
  <si>
    <t xml:space="preserve">Flashing Silk </t>
  </si>
  <si>
    <t xml:space="preserve">Salina's Sudden Fame </t>
  </si>
  <si>
    <t xml:space="preserve">Livya Braskamp </t>
  </si>
  <si>
    <t xml:space="preserve">Firefly </t>
  </si>
  <si>
    <t xml:space="preserve">Kamryn Chapman </t>
  </si>
  <si>
    <t xml:space="preserve">Firewater Marvel Ice </t>
  </si>
  <si>
    <t xml:space="preserve">BW so bada lover </t>
  </si>
  <si>
    <t xml:space="preserve">Arabella Cook </t>
  </si>
  <si>
    <t xml:space="preserve">Charge it to Serrina </t>
  </si>
  <si>
    <t xml:space="preserve">Dashtaberoyal </t>
  </si>
  <si>
    <t xml:space="preserve">Becca Cowan </t>
  </si>
  <si>
    <t xml:space="preserve">Fire </t>
  </si>
  <si>
    <t xml:space="preserve">Kristine DeBerg </t>
  </si>
  <si>
    <t xml:space="preserve">Jessfrostmycake </t>
  </si>
  <si>
    <t>Streakinblondelegacy</t>
  </si>
  <si>
    <t xml:space="preserve">Carrie Dieters </t>
  </si>
  <si>
    <t xml:space="preserve">Jackie's French Ice </t>
  </si>
  <si>
    <t xml:space="preserve">A Guy with Fame </t>
  </si>
  <si>
    <t xml:space="preserve">Sandy Highland </t>
  </si>
  <si>
    <t xml:space="preserve">Bonita </t>
  </si>
  <si>
    <t xml:space="preserve">Katilynn Jorgensen </t>
  </si>
  <si>
    <t xml:space="preserve">I Wood Frost Em </t>
  </si>
  <si>
    <t xml:space="preserve">Kara Martin </t>
  </si>
  <si>
    <t xml:space="preserve">TQH Smart Ransome </t>
  </si>
  <si>
    <t xml:space="preserve">Keenan Lenzen </t>
  </si>
  <si>
    <t xml:space="preserve">Reno </t>
  </si>
  <si>
    <t xml:space="preserve">Sara Jo Lamb </t>
  </si>
  <si>
    <t xml:space="preserve">Chance </t>
  </si>
  <si>
    <t xml:space="preserve">Vegas </t>
  </si>
  <si>
    <t xml:space="preserve">Margaret Miller </t>
  </si>
  <si>
    <t xml:space="preserve">Seven </t>
  </si>
  <si>
    <t xml:space="preserve">Jessica Mueller </t>
  </si>
  <si>
    <t xml:space="preserve">MFR Laughing Xena </t>
  </si>
  <si>
    <t xml:space="preserve">Maggie Noonan </t>
  </si>
  <si>
    <t>Rook</t>
  </si>
  <si>
    <t xml:space="preserve">Chief </t>
  </si>
  <si>
    <t xml:space="preserve">Archie </t>
  </si>
  <si>
    <t xml:space="preserve">Morgan Ober </t>
  </si>
  <si>
    <t xml:space="preserve">Bubba </t>
  </si>
  <si>
    <t xml:space="preserve">Kayla Papendick </t>
  </si>
  <si>
    <t xml:space="preserve">Buddy </t>
  </si>
  <si>
    <t xml:space="preserve">Ronna Pinney </t>
  </si>
  <si>
    <t xml:space="preserve">SP Streaknfreaknfast </t>
  </si>
  <si>
    <t xml:space="preserve">Casey VandenBosch </t>
  </si>
  <si>
    <t>Coronas Goldmine</t>
  </si>
  <si>
    <t xml:space="preserve">Alix VanderVoort </t>
  </si>
  <si>
    <t xml:space="preserve">I Dance for Perks </t>
  </si>
  <si>
    <t xml:space="preserve">RC Whiskey N Roses </t>
  </si>
  <si>
    <t xml:space="preserve">Pam Vankektrix </t>
  </si>
  <si>
    <t xml:space="preserve">JPS KAS IM Stylish </t>
  </si>
  <si>
    <t xml:space="preserve">Abbie Wildeboer </t>
  </si>
  <si>
    <t xml:space="preserve">Bootscootinboogie </t>
  </si>
  <si>
    <t xml:space="preserve">Jamie Zuidema </t>
  </si>
  <si>
    <t xml:space="preserve">Lucy </t>
  </si>
  <si>
    <t xml:space="preserve">Ashley Carlson </t>
  </si>
  <si>
    <t xml:space="preserve">Chaser </t>
  </si>
  <si>
    <t xml:space="preserve">Laura Roelfs </t>
  </si>
  <si>
    <t xml:space="preserve">CheckCashinConway </t>
  </si>
  <si>
    <t>Katie Novak</t>
  </si>
  <si>
    <t>Lynx</t>
  </si>
  <si>
    <t>Keeper</t>
  </si>
  <si>
    <t>Laynie Schuler</t>
  </si>
  <si>
    <t xml:space="preserve">Stella Schuler </t>
  </si>
  <si>
    <t>RCK Guys Mabelline</t>
  </si>
  <si>
    <t>Flit N Ice</t>
  </si>
  <si>
    <t>Dasher</t>
  </si>
  <si>
    <t>Blair Ellefson</t>
  </si>
  <si>
    <t>Maple</t>
  </si>
  <si>
    <t>Kaitlynn Jorgensen</t>
  </si>
  <si>
    <t>Kitty Dun It</t>
  </si>
  <si>
    <t>Reagan Sperry</t>
  </si>
  <si>
    <t>CD Jettin French Money</t>
  </si>
  <si>
    <t>Fame</t>
  </si>
  <si>
    <t>Anna Fay Ober</t>
  </si>
  <si>
    <t>Drew Ellefson</t>
  </si>
  <si>
    <t>Sutton Ober</t>
  </si>
  <si>
    <t>Taya Skiles</t>
  </si>
  <si>
    <t>Jill Ellefson</t>
  </si>
  <si>
    <t>Skittles</t>
  </si>
  <si>
    <t>Opal Harkins</t>
  </si>
  <si>
    <t>Sully</t>
  </si>
  <si>
    <t>Sydney Fuerst</t>
  </si>
  <si>
    <t>Bay</t>
  </si>
  <si>
    <t>Stolis Prissy Genes</t>
  </si>
  <si>
    <t>Bart's Dixie Pride</t>
  </si>
  <si>
    <t>nt</t>
  </si>
  <si>
    <t>Frosty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</si>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</sst>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16" sqref="D16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Jessica Mueller </v>
      </c>
      <c r="C2" s="19" t="str">
        <f>IFERROR(Draw!H2,"")</f>
        <v xml:space="preserve">MFR Laughing Xena </v>
      </c>
      <c r="D2" s="51">
        <v>16.363</v>
      </c>
      <c r="E2" s="92">
        <v>1.0000000000000001E-9</v>
      </c>
      <c r="F2" s="93">
        <f>IF(D2="scratch",3000+E2,IF(D2="nt",1000+E2,IF((D2+E2)&gt;5,D2+E2,"")))</f>
        <v>16.363000001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3D</v>
      </c>
      <c r="V2" s="7" t="str">
        <f>IFERROR(IF(U2=$V$1,'Open 2'!F2,""),"")</f>
        <v/>
      </c>
      <c r="W2" s="7" t="str">
        <f>IFERROR(IF(U2=$W$1,'Open 2'!F2,""),"")</f>
        <v/>
      </c>
      <c r="X2" s="7">
        <f>IFERROR(IF(U2=$X$1,'Open 2'!F2,""),"")</f>
        <v>16.363000001</v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 xml:space="preserve">Margaret Miller </v>
      </c>
      <c r="C3" s="19" t="str">
        <f>IFERROR(Draw!H3,"")</f>
        <v xml:space="preserve">Seven </v>
      </c>
      <c r="D3" s="52">
        <v>17.658999999999999</v>
      </c>
      <c r="E3" s="92">
        <v>2.0000000000000001E-9</v>
      </c>
      <c r="F3" s="93">
        <f t="shared" ref="F3:F66" si="0">IF(D3="scratch",3000+E3,IF(D3="nt",1000+E3,IF((D3+E3)&gt;5,D3+E3,"")))</f>
        <v>17.659000001999999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24" t="s">
        <v>81</v>
      </c>
      <c r="I3" s="225"/>
      <c r="J3" s="164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4D</v>
      </c>
      <c r="V3" s="7" t="str">
        <f>IFERROR(IF(U3=$V$1,'Open 2'!F3,""),"")</f>
        <v/>
      </c>
      <c r="W3" s="7" t="str">
        <f>IFERROR(IF(U3=$W$1,'Open 2'!F3,""),"")</f>
        <v/>
      </c>
      <c r="X3" s="7" t="str">
        <f>IFERROR(IF(U3=$X$1,'Open 2'!F3,""),"")</f>
        <v/>
      </c>
      <c r="Y3" s="7">
        <f>IFERROR(IF($U3=$Y$1,'Open 2'!F3,""),"")</f>
        <v>17.659000001999999</v>
      </c>
      <c r="Z3" s="7" t="str">
        <f>IFERROR(IF(U3=$Z$1,'Open 2'!F3,""),"")</f>
        <v/>
      </c>
      <c r="AA3" s="3"/>
      <c r="AB3" s="8">
        <f>MIN('Open 2'!D:D)</f>
        <v>14.917999999999999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 xml:space="preserve">Laura Roelfs </v>
      </c>
      <c r="C4" s="19" t="str">
        <f>IFERROR(Draw!H4,"")</f>
        <v xml:space="preserve">CheckCashinConway </v>
      </c>
      <c r="D4" s="53">
        <v>16.181000000000001</v>
      </c>
      <c r="E4" s="92">
        <v>3E-9</v>
      </c>
      <c r="F4" s="93">
        <f t="shared" si="0"/>
        <v>16.181000003000001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26" t="s">
        <v>3</v>
      </c>
      <c r="M4" s="39" t="str">
        <f>'Open 2'!AC10</f>
        <v>1st</v>
      </c>
      <c r="N4" s="18" t="str">
        <f>'Open 2'!AD10</f>
        <v>Opal Harkins</v>
      </c>
      <c r="O4" s="18" t="str">
        <f>'Open 2'!AE10</f>
        <v>Sully</v>
      </c>
      <c r="P4" s="40">
        <f>'Open 2'!AF10</f>
        <v>14.918000007</v>
      </c>
      <c r="Q4" s="156">
        <f>AG10</f>
        <v>67.199999999999989</v>
      </c>
      <c r="U4" s="3" t="str">
        <f>IFERROR(VLOOKUP('Open 2'!F4,$AB$3:$AC$7,2,TRUE),"")</f>
        <v>3D</v>
      </c>
      <c r="V4" s="7" t="str">
        <f>IFERROR(IF(U4=$V$1,'Open 2'!F4,""),"")</f>
        <v/>
      </c>
      <c r="W4" s="7" t="str">
        <f>IFERROR(IF(U4=$W$1,'Open 2'!F4,""),"")</f>
        <v/>
      </c>
      <c r="X4" s="7">
        <f>IFERROR(IF(U4=$X$1,'Open 2'!F4,""),"")</f>
        <v>16.181000003000001</v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15.417999999999999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67.199999999999989</v>
      </c>
      <c r="AQ4" s="152">
        <f t="shared" si="1"/>
        <v>57.599999999999994</v>
      </c>
      <c r="AR4" s="152">
        <f t="shared" si="1"/>
        <v>38.400000000000006</v>
      </c>
      <c r="AS4" s="152">
        <f t="shared" si="1"/>
        <v>28.799999999999997</v>
      </c>
    </row>
    <row r="5" spans="1:46" ht="16.5" thickBot="1">
      <c r="A5" s="18">
        <f>IF(B5="","",Draw!F5)</f>
        <v>4</v>
      </c>
      <c r="B5" s="19" t="str">
        <f>IFERROR(Draw!G5,"")</f>
        <v>Jill Ellefson</v>
      </c>
      <c r="C5" s="19" t="str">
        <f>IFERROR(Draw!H5,"")</f>
        <v>Skittles</v>
      </c>
      <c r="D5" s="54" t="s">
        <v>177</v>
      </c>
      <c r="E5" s="92">
        <v>4.0000000000000002E-9</v>
      </c>
      <c r="F5" s="93">
        <f t="shared" si="0"/>
        <v>1000.000000004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14.917999999999999</v>
      </c>
      <c r="L5" s="227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>4D</v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>
        <f>IFERROR(IF($U5=$Y$1,'Open 2'!F5,""),"")</f>
        <v>1000.000000004</v>
      </c>
      <c r="Z5" s="7" t="str">
        <f>IFERROR(IF(U5=$Z$1,'Open 2'!F5,""),"")</f>
        <v/>
      </c>
      <c r="AA5" s="3"/>
      <c r="AB5" s="9">
        <f>AB4+0.5</f>
        <v>15.917999999999999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>
        <f>IF(B6="","",Draw!F6)</f>
        <v>5</v>
      </c>
      <c r="B6" s="19" t="str">
        <f>IFERROR(Draw!G6,"")</f>
        <v xml:space="preserve">Josey Booth </v>
      </c>
      <c r="C6" s="19" t="str">
        <f>IFERROR(Draw!H6,"")</f>
        <v xml:space="preserve">Sweet Red Bobby Sox </v>
      </c>
      <c r="D6" s="54">
        <v>15.491</v>
      </c>
      <c r="E6" s="92">
        <v>5.0000000000000001E-9</v>
      </c>
      <c r="F6" s="93">
        <f t="shared" si="0"/>
        <v>15.491000005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15.417999999999999</v>
      </c>
      <c r="L6" s="227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2D</v>
      </c>
      <c r="V6" s="7" t="str">
        <f>IFERROR(IF(U6=$V$1,'Open 2'!F6,""),"")</f>
        <v/>
      </c>
      <c r="W6" s="7">
        <f>IFERROR(IF(U6=$W$1,'Open 2'!F6,""),"")</f>
        <v>15.491000005</v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16.917999999999999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15.917999999999999</v>
      </c>
      <c r="L7" s="22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>Opal Harkins</v>
      </c>
      <c r="C8" s="19" t="str">
        <f>IFERROR(Draw!H8,"")</f>
        <v>Sully</v>
      </c>
      <c r="D8" s="53">
        <v>14.917999999999999</v>
      </c>
      <c r="E8" s="92">
        <v>6.9999999999999998E-9</v>
      </c>
      <c r="F8" s="93">
        <f t="shared" si="0"/>
        <v>14.918000007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16.917999999999999</v>
      </c>
      <c r="L8" s="22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1D</v>
      </c>
      <c r="V8" s="7">
        <f>IFERROR(IF(U8=$V$1,'Open 2'!F8,""),"")</f>
        <v>14.918000007</v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>Blair Ellefson</v>
      </c>
      <c r="C9" s="19" t="str">
        <f>IFERROR(Draw!H9,"")</f>
        <v>Maple</v>
      </c>
      <c r="D9" s="52">
        <v>17.809999999999999</v>
      </c>
      <c r="E9" s="92">
        <v>8.0000000000000005E-9</v>
      </c>
      <c r="F9" s="93">
        <f t="shared" si="0"/>
        <v>17.810000007999999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4D</v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>
        <f>IFERROR(IF($U9=$Y$1,'Open 2'!F9,""),"")</f>
        <v>17.810000007999999</v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67.199999999999989</v>
      </c>
      <c r="AQ9" s="151">
        <f>AQ2*$AN$12</f>
        <v>57.599999999999994</v>
      </c>
      <c r="AR9" s="151">
        <f>AR2*$AN$12</f>
        <v>38.400000000000006</v>
      </c>
      <c r="AS9" s="151">
        <f>AS2*$AN$12</f>
        <v>28.799999999999997</v>
      </c>
    </row>
    <row r="10" spans="1:46" ht="16.5" thickBot="1">
      <c r="A10" s="18">
        <f>IF(B10="","",Draw!F10)</f>
        <v>8</v>
      </c>
      <c r="B10" s="19" t="str">
        <f>IFERROR(Draw!G10,"")</f>
        <v xml:space="preserve">Abbie Wildeboer </v>
      </c>
      <c r="C10" s="19" t="str">
        <f>IFERROR(Draw!H10,"")</f>
        <v xml:space="preserve">Bootscootinboogie </v>
      </c>
      <c r="D10" s="51">
        <v>916.81399999999996</v>
      </c>
      <c r="E10" s="92">
        <v>8.9999999999999995E-9</v>
      </c>
      <c r="F10" s="93">
        <f t="shared" si="0"/>
        <v>916.81400000899998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29" t="s">
        <v>4</v>
      </c>
      <c r="M10" s="39" t="str">
        <f>'Open 2'!AC16</f>
        <v>1st</v>
      </c>
      <c r="N10" s="18" t="str">
        <f>'Open 2'!AD16</f>
        <v xml:space="preserve">Josey Booth </v>
      </c>
      <c r="O10" s="18" t="str">
        <f>'Open 2'!AE16</f>
        <v xml:space="preserve">Sweet Red Bobby Sox </v>
      </c>
      <c r="P10" s="40">
        <f>'Open 2'!AF16</f>
        <v>15.491000005</v>
      </c>
      <c r="Q10" s="156">
        <f>AG16</f>
        <v>57.599999999999994</v>
      </c>
      <c r="U10" s="3" t="str">
        <f>IFERROR(VLOOKUP('Open 2'!F10,$AB$3:$AC$7,2,TRUE),"")</f>
        <v>4D</v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>
        <f>IFERROR(IF($U10=$Y$1,'Open 2'!F10,""),"")</f>
        <v>916.81400000899998</v>
      </c>
      <c r="Z10" s="7" t="str">
        <f>IFERROR(IF(U10=$Z$1,'Open 2'!F10,""),"")</f>
        <v/>
      </c>
      <c r="AA10" s="3" t="s">
        <v>20</v>
      </c>
      <c r="AB10" s="247" t="s">
        <v>3</v>
      </c>
      <c r="AC10" s="64" t="str">
        <f>IF(AD10="-","-",AA10)</f>
        <v>1st</v>
      </c>
      <c r="AD10" s="64" t="str">
        <f>IFERROR(INDEX('Open 2'!B:F,MATCH(AF10,'Open 2'!$F:$F,0),1),"-")</f>
        <v>Opal Harkins</v>
      </c>
      <c r="AE10" s="64" t="str">
        <f>IFERROR(INDEX('Open 2'!$B:$F,MATCH(AF10,'Open 2'!$F:$F,0),2),"-")</f>
        <v>Sully</v>
      </c>
      <c r="AF10" s="7">
        <f>IFERROR(SMALL($V$2:$V$286,AH10),"-")</f>
        <v>14.918000007</v>
      </c>
      <c r="AG10" s="153">
        <f>IF(AP4&gt;0,AP4,"")</f>
        <v>67.199999999999989</v>
      </c>
      <c r="AH10">
        <v>1</v>
      </c>
      <c r="AI10"/>
      <c r="AJ10"/>
      <c r="AK10" s="234" t="s">
        <v>75</v>
      </c>
      <c r="AL10" s="234"/>
      <c r="AM10" s="234"/>
      <c r="AN10" s="17">
        <f>J11</f>
        <v>12</v>
      </c>
    </row>
    <row r="11" spans="1:46" ht="16.5" thickBot="1">
      <c r="A11" s="18">
        <f>IF(B11="","",Draw!F11)</f>
        <v>9</v>
      </c>
      <c r="B11" s="19" t="str">
        <f>IFERROR(Draw!G11,"")</f>
        <v xml:space="preserve">Alix VanderVoort </v>
      </c>
      <c r="C11" s="19" t="str">
        <f>IFERROR(Draw!H11,"")</f>
        <v xml:space="preserve">I Dance for Perks </v>
      </c>
      <c r="D11" s="52">
        <v>16.923999999999999</v>
      </c>
      <c r="E11" s="92">
        <v>1E-8</v>
      </c>
      <c r="F11" s="93">
        <f t="shared" si="0"/>
        <v>16.92400001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24" t="s">
        <v>77</v>
      </c>
      <c r="I11" s="225"/>
      <c r="J11" s="189">
        <f>COUNTIF('Open 2'!$A$2:$A$286,"&gt;0")+COUNTIF('Open 2'!$A$2:$A$286,"co")+COUNTIF('Open 2'!$A$2:$A$286,"yco")-COUNTIF(D2:D286,"scratch")</f>
        <v>12</v>
      </c>
      <c r="K11" s="50">
        <v>2</v>
      </c>
      <c r="L11" s="230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>4D</v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>
        <f>IFERROR(IF($U11=$Y$1,'Open 2'!F11,""),"")</f>
        <v>16.92400001</v>
      </c>
      <c r="Z11" s="7" t="str">
        <f>IFERROR(IF(U11=$Z$1,'Open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IFERROR(INDEX('Open 2'!B:F,MATCH(AF11,'Open 2'!$F:$F,0),1),"-")</f>
        <v>-</v>
      </c>
      <c r="AE11" s="64" t="str">
        <f>IFERROR(INDEX('Open 2'!$B:$F,MATCH(AF11,'Open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v>16</v>
      </c>
    </row>
    <row r="12" spans="1:46" ht="16.5" thickBot="1">
      <c r="A12" s="18">
        <f>IF(B12="","",Draw!F12)</f>
        <v>10</v>
      </c>
      <c r="B12" s="19" t="str">
        <f>IFERROR(Draw!G12,"")</f>
        <v xml:space="preserve">Morgan Ober </v>
      </c>
      <c r="C12" s="19" t="str">
        <f>IFERROR(Draw!H12,"")</f>
        <v xml:space="preserve">Bubba </v>
      </c>
      <c r="D12" s="54">
        <v>16.673999999999999</v>
      </c>
      <c r="E12" s="92">
        <v>1.0999999999999999E-8</v>
      </c>
      <c r="F12" s="93">
        <f t="shared" si="0"/>
        <v>16.674000011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0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>3D</v>
      </c>
      <c r="V12" s="7" t="str">
        <f>IFERROR(IF(U12=$V$1,'Open 2'!F12,""),"")</f>
        <v/>
      </c>
      <c r="W12" s="7" t="str">
        <f>IFERROR(IF(U12=$W$1,'Open 2'!F12,""),"")</f>
        <v/>
      </c>
      <c r="X12" s="7">
        <f>IFERROR(IF(U12=$X$1,'Open 2'!F12,""),"")</f>
        <v>16.674000011</v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(AN10*AN11)+J3</f>
        <v>192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3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191.99999999999997</v>
      </c>
    </row>
    <row r="14" spans="1:46" ht="16.5" thickBot="1">
      <c r="A14" s="18">
        <f>IF(B14="","",Draw!F14)</f>
        <v>11</v>
      </c>
      <c r="B14" s="19" t="str">
        <f>IFERROR(Draw!G14,"")</f>
        <v>Drew Ellefson</v>
      </c>
      <c r="C14" s="19" t="str">
        <f>IFERROR(Draw!H14,"")</f>
        <v>Frosty</v>
      </c>
      <c r="D14" s="51">
        <v>18.516999999999999</v>
      </c>
      <c r="E14" s="92">
        <v>1.3000000000000001E-8</v>
      </c>
      <c r="F14" s="93">
        <f t="shared" si="0"/>
        <v>18.517000013000001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>4D</v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>
        <f>IFERROR(IF($U14=$Y$1,'Open 2'!F14,""),"")</f>
        <v>18.517000013000001</v>
      </c>
      <c r="Z14" s="7" t="str">
        <f>IFERROR(IF(U14=$Z$1,'Open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>
        <f>IF(B15="","",Draw!F15)</f>
        <v>12</v>
      </c>
      <c r="B15" s="19" t="str">
        <f>IFERROR(Draw!G15,"")</f>
        <v xml:space="preserve">Jozlyn Anderson   </v>
      </c>
      <c r="C15" s="19" t="str">
        <f>IFERROR(Draw!H15,"")</f>
        <v xml:space="preserve">Jack the Money </v>
      </c>
      <c r="D15" s="56">
        <v>15.699</v>
      </c>
      <c r="E15" s="92">
        <v>1.4E-8</v>
      </c>
      <c r="F15" s="93">
        <f t="shared" si="0"/>
        <v>15.699000013999999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>2D</v>
      </c>
      <c r="V15" s="7" t="str">
        <f>IFERROR(IF(U15=$V$1,'Open 2'!F15,""),"")</f>
        <v/>
      </c>
      <c r="W15" s="7">
        <f>IFERROR(IF(U15=$W$1,'Open 2'!F15,""),"")</f>
        <v>15.699000013999999</v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1" t="s">
        <v>5</v>
      </c>
      <c r="M16" s="39" t="str">
        <f>'Open 2'!AC22</f>
        <v>1st</v>
      </c>
      <c r="N16" s="18" t="str">
        <f>'Open 2'!AD22</f>
        <v xml:space="preserve">Laura Roelfs </v>
      </c>
      <c r="O16" s="18" t="str">
        <f>'Open 2'!AE22</f>
        <v xml:space="preserve">CheckCashinConway </v>
      </c>
      <c r="P16" s="40">
        <f>'Open 2'!AF22</f>
        <v>16.181000003000001</v>
      </c>
      <c r="Q16" s="156">
        <f>AG22</f>
        <v>38.400000000000006</v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33" t="s">
        <v>4</v>
      </c>
      <c r="AC16" s="16" t="str">
        <f>IF(AD16="-","-",AA16)</f>
        <v>1st</v>
      </c>
      <c r="AD16" s="16" t="str">
        <f>IFERROR(INDEX('Open 2'!B:F,MATCH(AF16,'Open 2'!F:F,0),1),"-")</f>
        <v xml:space="preserve">Josey Booth </v>
      </c>
      <c r="AE16" s="16" t="str">
        <f>IFERROR(INDEX('Open 2'!B:F,MATCH(AF16,'Open 2'!F:F,0),2),"-")</f>
        <v xml:space="preserve">Sweet Red Bobby Sox </v>
      </c>
      <c r="AF16" s="4">
        <f>IFERROR(SMALL($W$2:$W$286,AH16),"-")</f>
        <v>15.491000005</v>
      </c>
      <c r="AG16" s="154">
        <f>IF(AQ4&gt;0,AQ4,"")</f>
        <v>57.599999999999994</v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2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33"/>
      <c r="AC17" s="16" t="str">
        <f>IF(AD17="-","-",AA17)</f>
        <v>2nd</v>
      </c>
      <c r="AD17" s="16" t="str">
        <f>IFERROR(INDEX('Open 2'!B:F,MATCH(AF17,'Open 2'!F:F,0),1),"-")</f>
        <v xml:space="preserve">Jozlyn Anderson   </v>
      </c>
      <c r="AE17" s="16" t="str">
        <f>IFERROR(INDEX('Open 2'!B:F,MATCH(AF17,'Open 2'!F:F,0),2),"-")</f>
        <v xml:space="preserve">Jack the Money </v>
      </c>
      <c r="AF17" s="4">
        <f>IFERROR(SMALL($W$2:$W$286,AH17),"-")</f>
        <v>15.699000013999999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2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2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3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4" t="s">
        <v>6</v>
      </c>
      <c r="M22" s="39" t="str">
        <f>'Open 2'!AC28</f>
        <v>1st</v>
      </c>
      <c r="N22" s="18" t="str">
        <f>'Open 2'!AD28</f>
        <v xml:space="preserve">Alix VanderVoort </v>
      </c>
      <c r="O22" s="18" t="str">
        <f>'Open 2'!AE28</f>
        <v xml:space="preserve">I Dance for Perks </v>
      </c>
      <c r="P22" s="40">
        <f>'Open 2'!AF28</f>
        <v>16.92400001</v>
      </c>
      <c r="Q22" s="156">
        <f>AG28</f>
        <v>28.799999999999997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33" t="s">
        <v>5</v>
      </c>
      <c r="AC22" s="16" t="str">
        <f>IF(AD22="-","-","1st")</f>
        <v>1st</v>
      </c>
      <c r="AD22" s="16" t="str">
        <f>IFERROR(INDEX('Open 2'!B:F,MATCH(AF22,'Open 2'!F:F,0),1),"-")</f>
        <v xml:space="preserve">Laura Roelfs </v>
      </c>
      <c r="AE22" s="16" t="str">
        <f>IFERROR(INDEX('Open 2'!B:F,MATCH(AF22,'Open 2'!F:F,0),2),"-")</f>
        <v xml:space="preserve">CheckCashinConway </v>
      </c>
      <c r="AF22" s="4">
        <f>IFERROR(SMALL($X$2:$X$286,AH22),"-")</f>
        <v>16.181000003000001</v>
      </c>
      <c r="AG22" s="154">
        <f>IF(AR4&gt;0,AR4,"")</f>
        <v>38.400000000000006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5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3"/>
      <c r="AC23" s="16" t="str">
        <f>IF(AD23="-","-","2nd")</f>
        <v>2nd</v>
      </c>
      <c r="AD23" s="16" t="str">
        <f>IFERROR(INDEX('Open 2'!B:F,MATCH(AF23,'Open 2'!F:F,0),1),"-")</f>
        <v xml:space="preserve">Jessica Mueller </v>
      </c>
      <c r="AE23" s="16" t="str">
        <f>IFERROR(INDEX('Open 2'!B:F,MATCH(AF23,'Open 2'!F:F,0),2),"-")</f>
        <v xml:space="preserve">MFR Laughing Xena </v>
      </c>
      <c r="AF23" s="4">
        <f>IFERROR(SMALL($X$2:$X$286,AH23),"-")</f>
        <v>16.363000001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5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33"/>
      <c r="AC24" s="16" t="str">
        <f>IF(AD24="-","-","3rd")</f>
        <v>3rd</v>
      </c>
      <c r="AD24" s="16" t="str">
        <f>IFERROR(INDEX('Open 2'!B:F,MATCH(AF24,'Open 2'!F:F,0),1),"-")</f>
        <v xml:space="preserve">Morgan Ober </v>
      </c>
      <c r="AE24" s="16" t="str">
        <f>IFERROR(INDEX('Open 2'!B:F,MATCH(AF24,'Open 2'!F:F,0),2),"-")</f>
        <v xml:space="preserve">Bubba </v>
      </c>
      <c r="AF24" s="4">
        <f>IFERROR(SMALL($X$2:$X$286,AH24),"-")</f>
        <v>16.674000011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5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6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5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33" t="s">
        <v>6</v>
      </c>
      <c r="AC28" s="16" t="str">
        <f>IF(AD28="-","-","1st")</f>
        <v>1st</v>
      </c>
      <c r="AD28" s="16" t="str">
        <f>IFERROR(INDEX('Open 2'!B:F,MATCH(AF28,'Open 2'!F:F,0),1),"-")</f>
        <v xml:space="preserve">Alix VanderVoort </v>
      </c>
      <c r="AE28" s="16" t="str">
        <f>IFERROR(INDEX('Open 2'!B:F,MATCH(AF28,'Open 2'!F:F,0),2),"-")</f>
        <v xml:space="preserve">I Dance for Perks </v>
      </c>
      <c r="AF28" s="4">
        <f>IFERROR(IF(SMALL($Y$2:$Y$286,AH28)&lt;900,SMALL($Y$2:$Y$286,AH28),"-"),"-")</f>
        <v>16.92400001</v>
      </c>
      <c r="AG28" s="154">
        <f>IF(AS4&gt;0,AS4,"")</f>
        <v>28.799999999999997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6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33"/>
      <c r="AC29" s="16" t="str">
        <f>IF(AD29="-","-","2nd")</f>
        <v>2nd</v>
      </c>
      <c r="AD29" s="16" t="str">
        <f>IFERROR(INDEX('Open 2'!B:F,MATCH(AF29,'Open 2'!F:F,0),1),"-")</f>
        <v xml:space="preserve">Margaret Miller </v>
      </c>
      <c r="AE29" s="16" t="str">
        <f>IFERROR(INDEX('Open 2'!B:F,MATCH(AF29,'Open 2'!F:F,0),2),"-")</f>
        <v xml:space="preserve">Seven </v>
      </c>
      <c r="AF29" s="4">
        <f>IFERROR(IF(SMALL($Y$2:$Y$286,AH29)&lt;900,SMALL($Y$2:$Y$286,AH29),"-"),"-")</f>
        <v>17.659000001999999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6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33"/>
      <c r="AC30" s="16" t="str">
        <f>IF(AD30="-","-","3rd")</f>
        <v>3rd</v>
      </c>
      <c r="AD30" s="16" t="str">
        <f>IFERROR(INDEX('Open 2'!B:F,MATCH(AF30,'Open 2'!F:F,0),1),"-")</f>
        <v>Blair Ellefson</v>
      </c>
      <c r="AE30" s="16" t="str">
        <f>IFERROR(INDEX('Open 2'!B:F,MATCH(AF30,'Open 2'!F:F,0),2),"-")</f>
        <v>Maple</v>
      </c>
      <c r="AF30" s="4">
        <f>IFERROR(IF(SMALL($Y$2:$Y$286,AH30)&lt;900,SMALL($Y$2:$Y$286,AH30),"-"),"-")</f>
        <v>17.810000007999999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6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3"/>
      <c r="AC31" s="16" t="str">
        <f>IF(AD31="-","-","4th")</f>
        <v>4th</v>
      </c>
      <c r="AD31" s="16" t="str">
        <f>IFERROR(INDEX('Open 2'!B:F,MATCH(AF31,'Open 2'!F:F,0),1),"-")</f>
        <v>Drew Ellefson</v>
      </c>
      <c r="AE31" s="16" t="str">
        <f>IFERROR(INDEX('Open 2'!B:F,MATCH(AF31,'Open 2'!F:F,0),2),"-")</f>
        <v>Frosty</v>
      </c>
      <c r="AF31" s="4">
        <f>IFERROR(IF(SMALL($Y$2:$Y$286,AH31)&lt;900,SMALL($Y$2:$Y$286,AH31),"-"),"-")</f>
        <v>18.517000013000001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7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15" sqref="J15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6</v>
      </c>
      <c r="B2" s="84" t="str">
        <f>IFERROR(IF(INDEX('Open 2'!$A:$F,MATCH('Open 2 Results'!$E2,'Open 2'!$F:$F,0),2)&gt;0,INDEX('Open 2'!$A:$F,MATCH('Open 2 Results'!$E2,'Open 2'!$F:$F,0),2),""),"")</f>
        <v>Opal Harkins</v>
      </c>
      <c r="C2" s="84" t="str">
        <f>IFERROR(IF(INDEX('Open 2'!$A:$F,MATCH('Open 2 Results'!$E2,'Open 2'!$F:$F,0),3)&gt;0,INDEX('Open 2'!$A:$F,MATCH('Open 2 Results'!$E2,'Open 2'!$F:$F,0),3),""),"")</f>
        <v>Sully</v>
      </c>
      <c r="D2" s="85">
        <f>IFERROR(IF(AND(SMALL('Open 2'!F:F,L2)&gt;1000,SMALL('Open 2'!F:F,L2)&lt;3000),"nt",IF(SMALL('Open 2'!F:F,L2)&gt;3000,"",SMALL('Open 2'!F:F,L2))),"")</f>
        <v>14.918000007</v>
      </c>
      <c r="E2" s="115">
        <f>IF(D2="nt",IFERROR(SMALL('Open 2'!F:F,L2),""),IF(D2&gt;3000,"",IFERROR(SMALL('Open 2'!F:F,L2),"")))</f>
        <v>14.918000007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5</v>
      </c>
      <c r="B3" s="84" t="str">
        <f>IFERROR(IF(INDEX('Open 2'!$A:$F,MATCH('Open 2 Results'!$E3,'Open 2'!$F:$F,0),2)&gt;0,INDEX('Open 2'!$A:$F,MATCH('Open 2 Results'!$E3,'Open 2'!$F:$F,0),2),""),"")</f>
        <v xml:space="preserve">Josey Booth </v>
      </c>
      <c r="C3" s="84" t="str">
        <f>IFERROR(IF(INDEX('Open 2'!$A:$F,MATCH('Open 2 Results'!$E3,'Open 2'!$F:$F,0),3)&gt;0,INDEX('Open 2'!$A:$F,MATCH('Open 2 Results'!$E3,'Open 2'!$F:$F,0),3),""),"")</f>
        <v xml:space="preserve">Sweet Red Bobby Sox </v>
      </c>
      <c r="D3" s="85">
        <f>IFERROR(IF(AND(SMALL('Open 2'!F:F,L3)&gt;1000,SMALL('Open 2'!F:F,L3)&lt;3000),"nt",IF(SMALL('Open 2'!F:F,L3)&gt;3000,"",SMALL('Open 2'!F:F,L3))),"")</f>
        <v>15.491000005</v>
      </c>
      <c r="E3" s="115">
        <f>IF(D3="nt",IFERROR(SMALL('Open 2'!F:F,L3),""),IF(D3&gt;3000,"",IFERROR(SMALL('Open 2'!F:F,L3),"")))</f>
        <v>15.491000005</v>
      </c>
      <c r="F3" s="86" t="str">
        <f t="shared" si="0"/>
        <v>2D</v>
      </c>
      <c r="G3" s="91" t="str">
        <f t="shared" ref="G3:G66" si="1">IFERROR(VLOOKUP(D3,$H$3:$I$7,2,FALSE),"")</f>
        <v>2D</v>
      </c>
      <c r="H3" s="62">
        <f>'Open 2'!P4</f>
        <v>14.918000007</v>
      </c>
      <c r="I3" s="24" t="s">
        <v>3</v>
      </c>
      <c r="J3" s="121">
        <v>5</v>
      </c>
      <c r="K3" s="121"/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12</v>
      </c>
      <c r="B4" s="84" t="str">
        <f>IFERROR(IF(INDEX('Open 2'!$A:$F,MATCH('Open 2 Results'!$E4,'Open 2'!$F:$F,0),2)&gt;0,INDEX('Open 2'!$A:$F,MATCH('Open 2 Results'!$E4,'Open 2'!$F:$F,0),2),""),"")</f>
        <v xml:space="preserve">Jozlyn Anderson   </v>
      </c>
      <c r="C4" s="84" t="str">
        <f>IFERROR(IF(INDEX('Open 2'!$A:$F,MATCH('Open 2 Results'!$E4,'Open 2'!$F:$F,0),3)&gt;0,INDEX('Open 2'!$A:$F,MATCH('Open 2 Results'!$E4,'Open 2'!$F:$F,0),3),""),"")</f>
        <v xml:space="preserve">Jack the Money </v>
      </c>
      <c r="D4" s="85">
        <f>IFERROR(IF(AND(SMALL('Open 2'!F:F,L4)&gt;1000,SMALL('Open 2'!F:F,L4)&lt;3000),"nt",IF(SMALL('Open 2'!F:F,L4)&gt;3000,"",SMALL('Open 2'!F:F,L4))),"")</f>
        <v>15.699000013999999</v>
      </c>
      <c r="E4" s="115">
        <f>IF(D4="nt",IFERROR(SMALL('Open 2'!F:F,L4),""),IF(D4&gt;3000,"",IFERROR(SMALL('Open 2'!F:F,L4),"")))</f>
        <v>15.699000013999999</v>
      </c>
      <c r="F4" s="86" t="str">
        <f t="shared" si="0"/>
        <v>2D</v>
      </c>
      <c r="G4" s="91" t="str">
        <f t="shared" si="1"/>
        <v/>
      </c>
      <c r="H4" s="62">
        <f>'Open 2'!P10</f>
        <v>15.491000005</v>
      </c>
      <c r="I4" s="87" t="s">
        <v>4</v>
      </c>
      <c r="J4" s="163">
        <v>4</v>
      </c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3</v>
      </c>
      <c r="B5" s="84" t="str">
        <f>IFERROR(IF(INDEX('Open 2'!$A:$F,MATCH('Open 2 Results'!$E5,'Open 2'!$F:$F,0),2)&gt;0,INDEX('Open 2'!$A:$F,MATCH('Open 2 Results'!$E5,'Open 2'!$F:$F,0),2),""),"")</f>
        <v xml:space="preserve">Laura Roelfs </v>
      </c>
      <c r="C5" s="84" t="str">
        <f>IFERROR(IF(INDEX('Open 2'!$A:$F,MATCH('Open 2 Results'!$E5,'Open 2'!$F:$F,0),3)&gt;0,INDEX('Open 2'!$A:$F,MATCH('Open 2 Results'!$E5,'Open 2'!$F:$F,0),3),""),"")</f>
        <v xml:space="preserve">CheckCashinConway </v>
      </c>
      <c r="D5" s="85">
        <f>IFERROR(IF(AND(SMALL('Open 2'!F:F,L5)&gt;1000,SMALL('Open 2'!F:F,L5)&lt;3000),"nt",IF(SMALL('Open 2'!F:F,L5)&gt;3000,"",SMALL('Open 2'!F:F,L5))),"")</f>
        <v>16.181000003000001</v>
      </c>
      <c r="E5" s="115">
        <f>IF(D5="nt",IFERROR(SMALL('Open 2'!F:F,L5),""),IF(D5&gt;3000,"",IFERROR(SMALL('Open 2'!F:F,L5),"")))</f>
        <v>16.181000003000001</v>
      </c>
      <c r="F5" s="86" t="str">
        <f t="shared" si="0"/>
        <v>3D</v>
      </c>
      <c r="G5" s="91" t="str">
        <f t="shared" si="1"/>
        <v>3D</v>
      </c>
      <c r="H5" s="62">
        <f>'Open 2'!P16</f>
        <v>16.181000003000001</v>
      </c>
      <c r="I5" s="87" t="s">
        <v>5</v>
      </c>
      <c r="J5" s="163"/>
      <c r="K5" s="122"/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1</v>
      </c>
      <c r="B6" s="84" t="str">
        <f>IFERROR(IF(INDEX('Open 2'!$A:$F,MATCH('Open 2 Results'!$E6,'Open 2'!$F:$F,0),2)&gt;0,INDEX('Open 2'!$A:$F,MATCH('Open 2 Results'!$E6,'Open 2'!$F:$F,0),2),""),"")</f>
        <v xml:space="preserve">Jessica Mueller </v>
      </c>
      <c r="C6" s="84" t="str">
        <f>IFERROR(IF(INDEX('Open 2'!$A:$F,MATCH('Open 2 Results'!$E6,'Open 2'!$F:$F,0),3)&gt;0,INDEX('Open 2'!$A:$F,MATCH('Open 2 Results'!$E6,'Open 2'!$F:$F,0),3),""),"")</f>
        <v xml:space="preserve">MFR Laughing Xena </v>
      </c>
      <c r="D6" s="85">
        <f>IFERROR(IF(AND(SMALL('Open 2'!F:F,L6)&gt;1000,SMALL('Open 2'!F:F,L6)&lt;3000),"nt",IF(SMALL('Open 2'!F:F,L6)&gt;3000,"",SMALL('Open 2'!F:F,L6))),"")</f>
        <v>16.363000001</v>
      </c>
      <c r="E6" s="115">
        <f>IF(D6="nt",IFERROR(SMALL('Open 2'!F:F,L6),""),IF(D6&gt;3000,"",IFERROR(SMALL('Open 2'!F:F,L6),"")))</f>
        <v>16.363000001</v>
      </c>
      <c r="F6" s="86" t="str">
        <f t="shared" si="0"/>
        <v>3D</v>
      </c>
      <c r="G6" s="91" t="str">
        <f t="shared" si="1"/>
        <v/>
      </c>
      <c r="H6" s="62">
        <f>'Open 2'!P22</f>
        <v>16.92400001</v>
      </c>
      <c r="I6" s="87" t="s">
        <v>6</v>
      </c>
      <c r="J6" s="163">
        <v>5</v>
      </c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10</v>
      </c>
      <c r="B7" s="84" t="str">
        <f>IFERROR(IF(INDEX('Open 2'!$A:$F,MATCH('Open 2 Results'!$E7,'Open 2'!$F:$F,0),2)&gt;0,INDEX('Open 2'!$A:$F,MATCH('Open 2 Results'!$E7,'Open 2'!$F:$F,0),2),""),"")</f>
        <v xml:space="preserve">Morgan Ober </v>
      </c>
      <c r="C7" s="84" t="str">
        <f>IFERROR(IF(INDEX('Open 2'!$A:$F,MATCH('Open 2 Results'!$E7,'Open 2'!$F:$F,0),3)&gt;0,INDEX('Open 2'!$A:$F,MATCH('Open 2 Results'!$E7,'Open 2'!$F:$F,0),3),""),"")</f>
        <v xml:space="preserve">Bubba </v>
      </c>
      <c r="D7" s="85">
        <f>IFERROR(IF(AND(SMALL('Open 2'!F:F,L7)&gt;1000,SMALL('Open 2'!F:F,L7)&lt;3000),"nt",IF(SMALL('Open 2'!F:F,L7)&gt;3000,"",SMALL('Open 2'!F:F,L7))),"")</f>
        <v>16.674000011</v>
      </c>
      <c r="E7" s="115">
        <f>IF(D7="nt",IFERROR(SMALL('Open 2'!F:F,L7),""),IF(D7&gt;3000,"",IFERROR(SMALL('Open 2'!F:F,L7),"")))</f>
        <v>16.674000011</v>
      </c>
      <c r="F7" s="86" t="str">
        <f t="shared" si="0"/>
        <v>3D</v>
      </c>
      <c r="G7" s="91" t="str">
        <f t="shared" si="1"/>
        <v/>
      </c>
      <c r="H7" s="24" t="str">
        <f>'Open 2'!P28</f>
        <v>-</v>
      </c>
      <c r="I7" s="87" t="s">
        <v>13</v>
      </c>
      <c r="J7" s="163">
        <v>4</v>
      </c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9</v>
      </c>
      <c r="B8" s="84" t="str">
        <f>IFERROR(IF(INDEX('Open 2'!$A:$F,MATCH('Open 2 Results'!$E8,'Open 2'!$F:$F,0),2)&gt;0,INDEX('Open 2'!$A:$F,MATCH('Open 2 Results'!$E8,'Open 2'!$F:$F,0),2),""),"")</f>
        <v xml:space="preserve">Alix VanderVoort </v>
      </c>
      <c r="C8" s="84" t="str">
        <f>IFERROR(IF(INDEX('Open 2'!$A:$F,MATCH('Open 2 Results'!$E8,'Open 2'!$F:$F,0),3)&gt;0,INDEX('Open 2'!$A:$F,MATCH('Open 2 Results'!$E8,'Open 2'!$F:$F,0),3),""),"")</f>
        <v xml:space="preserve">I Dance for Perks </v>
      </c>
      <c r="D8" s="85">
        <f>IFERROR(IF(AND(SMALL('Open 2'!F:F,L8)&gt;1000,SMALL('Open 2'!F:F,L8)&lt;3000),"nt",IF(SMALL('Open 2'!F:F,L8)&gt;3000,"",SMALL('Open 2'!F:F,L8))),"")</f>
        <v>16.92400001</v>
      </c>
      <c r="E8" s="115">
        <f>IF(D8="nt",IFERROR(SMALL('Open 2'!F:F,L8),""),IF(D8&gt;3000,"",IFERROR(SMALL('Open 2'!F:F,L8),"")))</f>
        <v>16.92400001</v>
      </c>
      <c r="F8" s="86" t="str">
        <f t="shared" si="0"/>
        <v>4D</v>
      </c>
      <c r="G8" s="91" t="str">
        <f t="shared" si="1"/>
        <v>4D</v>
      </c>
      <c r="J8" s="162"/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2</v>
      </c>
      <c r="B9" s="84" t="str">
        <f>IFERROR(IF(INDEX('Open 2'!$A:$F,MATCH('Open 2 Results'!$E9,'Open 2'!$F:$F,0),2)&gt;0,INDEX('Open 2'!$A:$F,MATCH('Open 2 Results'!$E9,'Open 2'!$F:$F,0),2),""),"")</f>
        <v xml:space="preserve">Margaret Miller </v>
      </c>
      <c r="C9" s="84" t="str">
        <f>IFERROR(IF(INDEX('Open 2'!$A:$F,MATCH('Open 2 Results'!$E9,'Open 2'!$F:$F,0),3)&gt;0,INDEX('Open 2'!$A:$F,MATCH('Open 2 Results'!$E9,'Open 2'!$F:$F,0),3),""),"")</f>
        <v xml:space="preserve">Seven </v>
      </c>
      <c r="D9" s="85">
        <f>IFERROR(IF(AND(SMALL('Open 2'!F:F,L9)&gt;1000,SMALL('Open 2'!F:F,L9)&lt;3000),"nt",IF(SMALL('Open 2'!F:F,L9)&gt;3000,"",SMALL('Open 2'!F:F,L9))),"")</f>
        <v>17.659000001999999</v>
      </c>
      <c r="E9" s="115">
        <f>IF(D9="nt",IFERROR(SMALL('Open 2'!F:F,L9),""),IF(D9&gt;3000,"",IFERROR(SMALL('Open 2'!F:F,L9),"")))</f>
        <v>17.659000001999999</v>
      </c>
      <c r="F9" s="86" t="str">
        <f t="shared" si="0"/>
        <v>4D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7</v>
      </c>
      <c r="B10" s="84" t="str">
        <f>IFERROR(IF(INDEX('Open 2'!$A:$F,MATCH('Open 2 Results'!$E10,'Open 2'!$F:$F,0),2)&gt;0,INDEX('Open 2'!$A:$F,MATCH('Open 2 Results'!$E10,'Open 2'!$F:$F,0),2),""),"")</f>
        <v>Blair Ellefson</v>
      </c>
      <c r="C10" s="84" t="str">
        <f>IFERROR(IF(INDEX('Open 2'!$A:$F,MATCH('Open 2 Results'!$E10,'Open 2'!$F:$F,0),3)&gt;0,INDEX('Open 2'!$A:$F,MATCH('Open 2 Results'!$E10,'Open 2'!$F:$F,0),3),""),"")</f>
        <v>Maple</v>
      </c>
      <c r="D10" s="85">
        <f>IFERROR(IF(AND(SMALL('Open 2'!F:F,L10)&gt;1000,SMALL('Open 2'!F:F,L10)&lt;3000),"nt",IF(SMALL('Open 2'!F:F,L10)&gt;3000,"",SMALL('Open 2'!F:F,L10))),"")</f>
        <v>17.810000007999999</v>
      </c>
      <c r="E10" s="115">
        <f>IF(D10="nt",IFERROR(SMALL('Open 2'!F:F,L10),""),IF(D10&gt;3000,"",IFERROR(SMALL('Open 2'!F:F,L10),"")))</f>
        <v>17.810000007999999</v>
      </c>
      <c r="F10" s="86" t="str">
        <f t="shared" si="0"/>
        <v>4D</v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11</v>
      </c>
      <c r="B11" s="84" t="str">
        <f>IFERROR(IF(INDEX('Open 2'!$A:$F,MATCH('Open 2 Results'!$E11,'Open 2'!$F:$F,0),2)&gt;0,INDEX('Open 2'!$A:$F,MATCH('Open 2 Results'!$E11,'Open 2'!$F:$F,0),2),""),"")</f>
        <v>Drew Ellefson</v>
      </c>
      <c r="C11" s="84" t="str">
        <f>IFERROR(IF(INDEX('Open 2'!$A:$F,MATCH('Open 2 Results'!$E11,'Open 2'!$F:$F,0),3)&gt;0,INDEX('Open 2'!$A:$F,MATCH('Open 2 Results'!$E11,'Open 2'!$F:$F,0),3),""),"")</f>
        <v>Frosty</v>
      </c>
      <c r="D11" s="85">
        <f>IFERROR(IF(AND(SMALL('Open 2'!F:F,L11)&gt;1000,SMALL('Open 2'!F:F,L11)&lt;3000),"nt",IF(SMALL('Open 2'!F:F,L11)&gt;3000,"",SMALL('Open 2'!F:F,L11))),"")</f>
        <v>18.517000013000001</v>
      </c>
      <c r="E11" s="115">
        <f>IF(D11="nt",IFERROR(SMALL('Open 2'!F:F,L11),""),IF(D11&gt;3000,"",IFERROR(SMALL('Open 2'!F:F,L11),"")))</f>
        <v>18.517000013000001</v>
      </c>
      <c r="F11" s="86" t="str">
        <f t="shared" si="0"/>
        <v>4D</v>
      </c>
      <c r="G11" s="91" t="str">
        <f t="shared" si="1"/>
        <v/>
      </c>
      <c r="J11" s="162"/>
      <c r="K11" s="121"/>
      <c r="L11" s="24">
        <v>10</v>
      </c>
    </row>
    <row r="12" spans="1:12">
      <c r="A12" s="18">
        <f>IFERROR(IF(INDEX('Open 2'!$A:$F,MATCH('Open 2 Results'!$E12,'Open 2'!$F:$F,0),1)&gt;0,INDEX('Open 2'!$A:$F,MATCH('Open 2 Results'!$E12,'Open 2'!$F:$F,0),1),""),"")</f>
        <v>8</v>
      </c>
      <c r="B12" s="84" t="str">
        <f>IFERROR(IF(INDEX('Open 2'!$A:$F,MATCH('Open 2 Results'!$E12,'Open 2'!$F:$F,0),2)&gt;0,INDEX('Open 2'!$A:$F,MATCH('Open 2 Results'!$E12,'Open 2'!$F:$F,0),2),""),"")</f>
        <v xml:space="preserve">Abbie Wildeboer </v>
      </c>
      <c r="C12" s="84" t="str">
        <f>IFERROR(IF(INDEX('Open 2'!$A:$F,MATCH('Open 2 Results'!$E12,'Open 2'!$F:$F,0),3)&gt;0,INDEX('Open 2'!$A:$F,MATCH('Open 2 Results'!$E12,'Open 2'!$F:$F,0),3),""),"")</f>
        <v xml:space="preserve">Bootscootinboogie </v>
      </c>
      <c r="D12" s="85">
        <f>IFERROR(IF(AND(SMALL('Open 2'!F:F,L12)&gt;1000,SMALL('Open 2'!F:F,L12)&lt;3000),"nt",IF(SMALL('Open 2'!F:F,L12)&gt;3000,"",SMALL('Open 2'!F:F,L12))),"")</f>
        <v>916.81400000899998</v>
      </c>
      <c r="E12" s="115">
        <f>IF(D12="nt",IFERROR(SMALL('Open 2'!F:F,L12),""),IF(D12&gt;3000,"",IFERROR(SMALL('Open 2'!F:F,L12),"")))</f>
        <v>916.81400000899998</v>
      </c>
      <c r="F12" s="86" t="str">
        <f t="shared" si="0"/>
        <v>4D</v>
      </c>
      <c r="G12" s="91" t="str">
        <f t="shared" si="1"/>
        <v/>
      </c>
      <c r="J12" s="162"/>
      <c r="K12" s="121"/>
      <c r="L12" s="24">
        <v>11</v>
      </c>
    </row>
    <row r="13" spans="1:12">
      <c r="A13" s="18">
        <f>IFERROR(IF(INDEX('Open 2'!$A:$F,MATCH('Open 2 Results'!$E13,'Open 2'!$F:$F,0),1)&gt;0,INDEX('Open 2'!$A:$F,MATCH('Open 2 Results'!$E13,'Open 2'!$F:$F,0),1),""),"")</f>
        <v>4</v>
      </c>
      <c r="B13" s="84" t="str">
        <f>IFERROR(IF(INDEX('Open 2'!$A:$F,MATCH('Open 2 Results'!$E13,'Open 2'!$F:$F,0),2)&gt;0,INDEX('Open 2'!$A:$F,MATCH('Open 2 Results'!$E13,'Open 2'!$F:$F,0),2),""),"")</f>
        <v>Jill Ellefson</v>
      </c>
      <c r="C13" s="84" t="str">
        <f>IFERROR(IF(INDEX('Open 2'!$A:$F,MATCH('Open 2 Results'!$E13,'Open 2'!$F:$F,0),3)&gt;0,INDEX('Open 2'!$A:$F,MATCH('Open 2 Results'!$E13,'Open 2'!$F:$F,0),3),""),"")</f>
        <v>Skittles</v>
      </c>
      <c r="D13" s="85" t="str">
        <f>IFERROR(IF(AND(SMALL('Open 2'!F:F,L13)&gt;1000,SMALL('Open 2'!F:F,L13)&lt;3000),"nt",IF(SMALL('Open 2'!F:F,L13)&gt;3000,"",SMALL('Open 2'!F:F,L13))),"")</f>
        <v>nt</v>
      </c>
      <c r="E13" s="115">
        <f>IF(D13="nt",IFERROR(SMALL('Open 2'!F:F,L13),""),IF(D13&gt;3000,"",IFERROR(SMALL('Open 2'!F:F,L13),"")))</f>
        <v>1000.000000004</v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1" sqref="D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>
        <f>IF(B2="","",Draw!J2)</f>
        <v>1</v>
      </c>
      <c r="B2" s="19" t="str">
        <f>IFERROR(Draw!K2,"")</f>
        <v xml:space="preserve">Jessica Mueller </v>
      </c>
      <c r="C2" s="19" t="str">
        <f>IFERROR(Draw!L2,"")</f>
        <v xml:space="preserve">MFR Laughing Xena </v>
      </c>
      <c r="D2" s="51">
        <v>24.866</v>
      </c>
      <c r="E2" s="17">
        <v>1E-8</v>
      </c>
      <c r="F2" s="93">
        <f>IF(D2="scratch",3000+E2,IF(D2="nt",1000+E2,IF((D2+E2)&gt;5,D2+E2,"")))</f>
        <v>24.86600001</v>
      </c>
      <c r="G2" s="62" t="str">
        <f>IF(OR(AND(D2&gt;1,D2&lt;1050),D2="nt",D2="",D2="scratch"),"","Not valid")</f>
        <v/>
      </c>
    </row>
    <row r="3" spans="1:17" ht="16.5" thickBot="1">
      <c r="A3" s="20">
        <f>IF(B3="","",Draw!J3)</f>
        <v>2</v>
      </c>
      <c r="B3" s="21" t="str">
        <f>IFERROR(Draw!K3,"")</f>
        <v xml:space="preserve">Keenan Lenzen </v>
      </c>
      <c r="C3" s="21" t="str">
        <f>IFERROR(Draw!L3,"")</f>
        <v>Dasher</v>
      </c>
      <c r="D3" s="52">
        <v>28.817</v>
      </c>
      <c r="E3" s="17">
        <v>2E-8</v>
      </c>
      <c r="F3" s="93">
        <f t="shared" ref="F3:F66" si="0">IF(D3="scratch",3000+E3,IF(D3="nt",1000+E3,IF((D3+E3)&gt;5,D3+E3,"")))</f>
        <v>28.817000020000002</v>
      </c>
      <c r="G3" s="62" t="str">
        <f>IF(OR(AND(D3&gt;1,D3&lt;1050),D3="nt",D3="",D3="scratch"),"","Not a valid input")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>
        <f>IF(B4="","",Draw!J4)</f>
        <v>3</v>
      </c>
      <c r="B4" s="21" t="str">
        <f>IFERROR(Draw!K4,"")</f>
        <v xml:space="preserve">Kara Martin </v>
      </c>
      <c r="C4" s="21" t="str">
        <f>IFERROR(Draw!L4,"")</f>
        <v>Fame</v>
      </c>
      <c r="D4" s="53">
        <v>27.68</v>
      </c>
      <c r="E4" s="17">
        <v>2.9999999999999997E-8</v>
      </c>
      <c r="F4" s="93">
        <f t="shared" si="0"/>
        <v>27.680000029999999</v>
      </c>
      <c r="G4" s="62" t="str">
        <f>IF(OR(AND(D4&gt;1,D4&lt;1050),D4="nt",D4="",D4="scratch"),"","Not a valid input")</f>
        <v/>
      </c>
      <c r="L4" s="226" t="s">
        <v>3</v>
      </c>
      <c r="M4" s="39" t="str">
        <f>'Poles Calculations'!G8</f>
        <v>1st</v>
      </c>
      <c r="N4" s="18" t="str">
        <f>'Poles Calculations'!H8</f>
        <v>Laynie Schuler</v>
      </c>
      <c r="O4" s="18" t="str">
        <f>'Poles Calculations'!I8</f>
        <v>Stolis Prissy Genes</v>
      </c>
      <c r="P4" s="40">
        <f>'Poles Calculations'!J8</f>
        <v>23.319000039999999</v>
      </c>
      <c r="Q4" s="165">
        <f>'Poles Calculations'!K8</f>
        <v>72</v>
      </c>
    </row>
    <row r="5" spans="1:17" ht="16.5" thickBot="1">
      <c r="A5" s="20">
        <f>IF(B5="","",Draw!J5)</f>
        <v>4</v>
      </c>
      <c r="B5" s="21" t="str">
        <f>IFERROR(Draw!K5,"")</f>
        <v>Laynie Schuler</v>
      </c>
      <c r="C5" s="21" t="str">
        <f>IFERROR(Draw!L5,"")</f>
        <v>Stolis Prissy Genes</v>
      </c>
      <c r="D5" s="54">
        <v>23.318999999999999</v>
      </c>
      <c r="E5" s="17">
        <v>4.0000000000000001E-8</v>
      </c>
      <c r="F5" s="93">
        <f t="shared" si="0"/>
        <v>23.319000039999999</v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23.318999999999999</v>
      </c>
      <c r="L5" s="22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>
        <f>IF(B6="","",Draw!J6)</f>
        <v>5</v>
      </c>
      <c r="B6" s="21" t="str">
        <f>IFERROR(Draw!K6,"")</f>
        <v xml:space="preserve">Stella Schuler </v>
      </c>
      <c r="C6" s="21" t="str">
        <f>IFERROR(Draw!L6,"")</f>
        <v>RCK Guys Mabelline</v>
      </c>
      <c r="D6" s="54" t="s">
        <v>177</v>
      </c>
      <c r="E6" s="17">
        <v>4.9999999999999998E-8</v>
      </c>
      <c r="F6" s="93">
        <f t="shared" si="0"/>
        <v>1000.00000005</v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25.318999999999999</v>
      </c>
      <c r="L6" s="22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>
        <f>IF(B7="","",Draw!J7)</f>
        <v>6</v>
      </c>
      <c r="B7" s="21" t="str">
        <f>IFERROR(Draw!K7,"")</f>
        <v xml:space="preserve">Abbie Wildeboer </v>
      </c>
      <c r="C7" s="21" t="str">
        <f>IFERROR(Draw!L7,"")</f>
        <v xml:space="preserve">Bootscootinboogie </v>
      </c>
      <c r="D7" s="52">
        <v>28.632000000000001</v>
      </c>
      <c r="E7" s="17">
        <v>5.9999999999999995E-8</v>
      </c>
      <c r="F7" s="93">
        <f t="shared" si="0"/>
        <v>28.632000060000003</v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27.318999999999999</v>
      </c>
      <c r="L7" s="22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>
        <f>IF(B8="","",Draw!J8)</f>
        <v>7</v>
      </c>
      <c r="B8" s="21" t="str">
        <f>IFERROR(Draw!K8,"")</f>
        <v xml:space="preserve">Kayla Papendick </v>
      </c>
      <c r="C8" s="21" t="str">
        <f>IFERROR(Draw!L8,"")</f>
        <v xml:space="preserve">Buddy </v>
      </c>
      <c r="D8" s="51">
        <v>936.96699999999998</v>
      </c>
      <c r="E8" s="17">
        <v>7.0000000000000005E-8</v>
      </c>
      <c r="F8" s="93">
        <f t="shared" si="0"/>
        <v>936.96700007000004</v>
      </c>
      <c r="G8" s="62" t="str">
        <f t="shared" ref="G8:G71" si="1">IF(OR(AND(D8&gt;1,D8&lt;1050),D8="nt",D8="",D8="scratch"),"","Not a valid input")</f>
        <v/>
      </c>
      <c r="I8" s="170"/>
      <c r="J8" s="62"/>
      <c r="L8" s="22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>
        <f>IF(B9="","",Draw!J9)</f>
        <v>8</v>
      </c>
      <c r="B9" s="21" t="str">
        <f>IFERROR(Draw!K9,"")</f>
        <v xml:space="preserve">Kara Martin </v>
      </c>
      <c r="C9" s="21" t="str">
        <f>IFERROR(Draw!L9,"")</f>
        <v xml:space="preserve">TQH Smart Ransome </v>
      </c>
      <c r="D9" s="52">
        <v>25.097999999999999</v>
      </c>
      <c r="E9" s="17">
        <v>8.0000000000000002E-8</v>
      </c>
      <c r="F9" s="93">
        <f t="shared" si="0"/>
        <v>25.098000079999998</v>
      </c>
      <c r="G9" s="62" t="str">
        <f t="shared" si="1"/>
        <v/>
      </c>
      <c r="H9" s="224" t="s">
        <v>77</v>
      </c>
      <c r="I9" s="225"/>
      <c r="J9" s="189">
        <f>COUNTIF(Poles!$A$2:$A$286,"&gt;0")-COUNTIF(D2:D286,"scratch")</f>
        <v>9</v>
      </c>
      <c r="L9" s="34"/>
      <c r="M9" s="37"/>
      <c r="N9" s="26"/>
      <c r="O9" s="26"/>
      <c r="P9" s="38"/>
      <c r="Q9" s="159"/>
    </row>
    <row r="10" spans="1:17" ht="16.5" thickBot="1">
      <c r="A10" s="20">
        <f>IF(B10="","",Draw!J10)</f>
        <v>9</v>
      </c>
      <c r="B10" s="21" t="str">
        <f>IFERROR(Draw!K10,"")</f>
        <v xml:space="preserve">Keenan Lenzen </v>
      </c>
      <c r="C10" s="21" t="str">
        <f>IFERROR(Draw!L10,"")</f>
        <v>Kitty Dun It</v>
      </c>
      <c r="D10" s="53" t="s">
        <v>177</v>
      </c>
      <c r="E10" s="17">
        <v>8.9999999999999999E-8</v>
      </c>
      <c r="F10" s="93">
        <f t="shared" si="0"/>
        <v>1000.00000009</v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>
        <f>'Poles Calculations'!K14</f>
        <v>43.199999999999996</v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39" t="s">
        <v>27</v>
      </c>
      <c r="J13" s="24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1st</v>
      </c>
      <c r="N16" s="18" t="str">
        <f>'Poles Calculations'!H20</f>
        <v xml:space="preserve">Kara Martin </v>
      </c>
      <c r="O16" s="18" t="str">
        <f>'Poles Calculations'!I20</f>
        <v>Fame</v>
      </c>
      <c r="P16" s="40">
        <f>'Poles Calculations'!J20</f>
        <v>27.680000029999999</v>
      </c>
      <c r="Q16" s="167">
        <f>'Poles Calculations'!K20</f>
        <v>28.8</v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objects="1" scenarios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8" sqref="J8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>
        <f>IFERROR(IF(INDEX(Poles!$A:$F,MATCH('Poles Results'!$E2,Poles!$F:$F,0),1)&gt;0,INDEX(Poles!$A:$F,MATCH('Poles Results'!$E2,Poles!$F:$F,0),1),""),"")</f>
        <v>4</v>
      </c>
      <c r="B2" s="84" t="str">
        <f>IFERROR(IF(INDEX(Poles!$A:$F,MATCH('Poles Results'!$E2,Poles!$F:$F,0),2)&gt;0,INDEX(Poles!$A:$F,MATCH('Poles Results'!$E2,Poles!$F:$F,0),2),""),"")</f>
        <v>Laynie Schuler</v>
      </c>
      <c r="C2" s="84" t="str">
        <f>IFERROR(IF(INDEX(Poles!$A:$F,MATCH('Poles Results'!E2,Poles!$F:$F,0),3)&gt;0,INDEX(Poles!$A:$F,MATCH('Poles Results'!E2,Poles!$F:$F,0),3),""),"")</f>
        <v>Stolis Prissy Genes</v>
      </c>
      <c r="D2" s="85">
        <f>IFERROR(IF(AND(SMALL(Poles!F:F,K2)&gt;1000,SMALL(Poles!F:F,K2)&lt;3000),"nt",IF(SMALL(Poles!F:F,K2)&gt;3000,"",SMALL(Poles!F:F,K2))),"")</f>
        <v>23.319000039999999</v>
      </c>
      <c r="E2" s="115">
        <f>IF(D2="nt",IFERROR(SMALL(Poles!F:F,K2),""),IF(D2&gt;3000,"",IFERROR(SMALL(Poles!F:F,K2),"")))</f>
        <v>23.319000039999999</v>
      </c>
      <c r="F2" s="86" t="str">
        <f t="shared" ref="F2:F33" si="0">IFERROR(VLOOKUP(D2,$H$3:$I$5,2,TRUE),"")</f>
        <v>1D</v>
      </c>
      <c r="G2" s="91" t="str">
        <f t="shared" ref="G2:G65" si="1">IFERROR(VLOOKUP(D2,$H$3:$I$5,2,FALSE),"")</f>
        <v>1D</v>
      </c>
      <c r="J2" s="121"/>
      <c r="K2" s="24">
        <v>1</v>
      </c>
    </row>
    <row r="3" spans="1:11">
      <c r="A3" s="18">
        <f>IFERROR(IF(INDEX(Poles!$A:$F,MATCH('Poles Results'!$E3,Poles!$F:$F,0),1)&gt;0,INDEX(Poles!$A:$F,MATCH('Poles Results'!$E3,Poles!$F:$F,0),1),""),"")</f>
        <v>1</v>
      </c>
      <c r="B3" s="84" t="str">
        <f>IFERROR(IF(INDEX(Poles!$A:$F,MATCH('Poles Results'!$E3,Poles!$F:$F,0),2)&gt;0,INDEX(Poles!$A:$F,MATCH('Poles Results'!$E3,Poles!$F:$F,0),2),""),"")</f>
        <v xml:space="preserve">Jessica Mueller </v>
      </c>
      <c r="C3" s="84" t="str">
        <f>IFERROR(IF(INDEX(Poles!$A:$F,MATCH('Poles Results'!E3,Poles!$F:$F,0),3)&gt;0,INDEX(Poles!$A:$F,MATCH('Poles Results'!E3,Poles!$F:$F,0),3),""),"")</f>
        <v xml:space="preserve">MFR Laughing Xena </v>
      </c>
      <c r="D3" s="85">
        <f>IFERROR(IF(AND(SMALL(Poles!F:F,K3)&gt;1000,SMALL(Poles!F:F,K3)&lt;3000),"nt",IF(SMALL(Poles!F:F,K3)&gt;3000,"",SMALL(Poles!F:F,K3))),"")</f>
        <v>24.86600001</v>
      </c>
      <c r="E3" s="115">
        <f>IF(D3="nt",IFERROR(SMALL(Poles!F:F,K3),""),IF(D3&gt;3000,"",IFERROR(SMALL(Poles!F:F,K3),"")))</f>
        <v>24.86600001</v>
      </c>
      <c r="F3" s="86" t="str">
        <f t="shared" si="0"/>
        <v>1D</v>
      </c>
      <c r="G3" s="91" t="str">
        <f t="shared" si="1"/>
        <v/>
      </c>
      <c r="H3" s="62">
        <f>Poles!P4</f>
        <v>23.319000039999999</v>
      </c>
      <c r="I3" s="24" t="s">
        <v>3</v>
      </c>
      <c r="J3" s="121">
        <v>5</v>
      </c>
      <c r="K3" s="24">
        <v>2</v>
      </c>
    </row>
    <row r="4" spans="1:11">
      <c r="A4" s="18">
        <f>IFERROR(IF(INDEX(Poles!$A:$F,MATCH('Poles Results'!$E4,Poles!$F:$F,0),1)&gt;0,INDEX(Poles!$A:$F,MATCH('Poles Results'!$E4,Poles!$F:$F,0),1),""),"")</f>
        <v>8</v>
      </c>
      <c r="B4" s="84" t="str">
        <f>IFERROR(IF(INDEX(Poles!$A:$F,MATCH('Poles Results'!$E4,Poles!$F:$F,0),2)&gt;0,INDEX(Poles!$A:$F,MATCH('Poles Results'!$E4,Poles!$F:$F,0),2),""),"")</f>
        <v xml:space="preserve">Kara Martin </v>
      </c>
      <c r="C4" s="84" t="str">
        <f>IFERROR(IF(INDEX(Poles!$A:$F,MATCH('Poles Results'!E4,Poles!$F:$F,0),3)&gt;0,INDEX(Poles!$A:$F,MATCH('Poles Results'!E4,Poles!$F:$F,0),3),""),"")</f>
        <v xml:space="preserve">TQH Smart Ransome </v>
      </c>
      <c r="D4" s="85">
        <f>IFERROR(IF(AND(SMALL(Poles!F:F,K4)&gt;1000,SMALL(Poles!F:F,K4)&lt;3000),"nt",IF(SMALL(Poles!F:F,K4)&gt;3000,"",SMALL(Poles!F:F,K4))),"")</f>
        <v>25.098000079999998</v>
      </c>
      <c r="E4" s="115">
        <f>IF(D4="nt",IFERROR(SMALL(Poles!F:F,K4),""),IF(D4&gt;3000,"",IFERROR(SMALL(Poles!F:F,K4),"")))</f>
        <v>25.098000079999998</v>
      </c>
      <c r="F4" s="86" t="str">
        <f t="shared" si="0"/>
        <v>1D</v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>
        <f>IFERROR(IF(INDEX(Poles!$A:$F,MATCH('Poles Results'!$E5,Poles!$F:$F,0),1)&gt;0,INDEX(Poles!$A:$F,MATCH('Poles Results'!$E5,Poles!$F:$F,0),1),""),"")</f>
        <v>3</v>
      </c>
      <c r="B5" s="84" t="str">
        <f>IFERROR(IF(INDEX(Poles!$A:$F,MATCH('Poles Results'!$E5,Poles!$F:$F,0),2)&gt;0,INDEX(Poles!$A:$F,MATCH('Poles Results'!$E5,Poles!$F:$F,0),2),""),"")</f>
        <v xml:space="preserve">Kara Martin </v>
      </c>
      <c r="C5" s="84" t="str">
        <f>IFERROR(IF(INDEX(Poles!$A:$F,MATCH('Poles Results'!E5,Poles!$F:$F,0),3)&gt;0,INDEX(Poles!$A:$F,MATCH('Poles Results'!E5,Poles!$F:$F,0),3),""),"")</f>
        <v>Fame</v>
      </c>
      <c r="D5" s="85">
        <f>IFERROR(IF(AND(SMALL(Poles!F:F,K5)&gt;1000,SMALL(Poles!F:F,K5)&lt;3000),"nt",IF(SMALL(Poles!F:F,K5)&gt;3000,"",SMALL(Poles!F:F,K5))),"")</f>
        <v>27.680000029999999</v>
      </c>
      <c r="E5" s="115">
        <f>IF(D5="nt",IFERROR(SMALL(Poles!F:F,K5),""),IF(D5&gt;3000,"",IFERROR(SMALL(Poles!F:F,K5),"")))</f>
        <v>27.680000029999999</v>
      </c>
      <c r="F5" s="86" t="str">
        <f t="shared" si="0"/>
        <v>3D</v>
      </c>
      <c r="G5" s="91" t="str">
        <f t="shared" si="1"/>
        <v>3D</v>
      </c>
      <c r="H5" s="62">
        <f>Poles!P16</f>
        <v>27.680000029999999</v>
      </c>
      <c r="I5" s="87" t="s">
        <v>5</v>
      </c>
      <c r="J5" s="122"/>
      <c r="K5" s="24">
        <v>4</v>
      </c>
    </row>
    <row r="6" spans="1:11">
      <c r="A6" s="18">
        <f>IFERROR(IF(INDEX(Poles!$A:$F,MATCH('Poles Results'!$E6,Poles!$F:$F,0),1)&gt;0,INDEX(Poles!$A:$F,MATCH('Poles Results'!$E6,Poles!$F:$F,0),1),""),"")</f>
        <v>6</v>
      </c>
      <c r="B6" s="84" t="str">
        <f>IFERROR(IF(INDEX(Poles!$A:$F,MATCH('Poles Results'!$E6,Poles!$F:$F,0),2)&gt;0,INDEX(Poles!$A:$F,MATCH('Poles Results'!$E6,Poles!$F:$F,0),2),""),"")</f>
        <v xml:space="preserve">Abbie Wildeboer </v>
      </c>
      <c r="C6" s="84" t="str">
        <f>IFERROR(IF(INDEX(Poles!$A:$F,MATCH('Poles Results'!E6,Poles!$F:$F,0),3)&gt;0,INDEX(Poles!$A:$F,MATCH('Poles Results'!E6,Poles!$F:$F,0),3),""),"")</f>
        <v xml:space="preserve">Bootscootinboogie </v>
      </c>
      <c r="D6" s="85">
        <f>IFERROR(IF(AND(SMALL(Poles!F:F,K6)&gt;1000,SMALL(Poles!F:F,K6)&lt;3000),"nt",IF(SMALL(Poles!F:F,K6)&gt;3000,"",SMALL(Poles!F:F,K6))),"")</f>
        <v>28.632000060000003</v>
      </c>
      <c r="E6" s="115">
        <f>IF(D6="nt",IFERROR(SMALL(Poles!F:F,K6),""),IF(D6&gt;3000,"",IFERROR(SMALL(Poles!F:F,K6),"")))</f>
        <v>28.632000060000003</v>
      </c>
      <c r="F6" s="86" t="str">
        <f t="shared" si="0"/>
        <v>3D</v>
      </c>
      <c r="G6" s="91" t="str">
        <f t="shared" si="1"/>
        <v/>
      </c>
      <c r="J6" s="121"/>
      <c r="K6" s="24">
        <v>5</v>
      </c>
    </row>
    <row r="7" spans="1:11">
      <c r="A7" s="18">
        <f>IFERROR(IF(INDEX(Poles!$A:$F,MATCH('Poles Results'!$E7,Poles!$F:$F,0),1)&gt;0,INDEX(Poles!$A:$F,MATCH('Poles Results'!$E7,Poles!$F:$F,0),1),""),"")</f>
        <v>2</v>
      </c>
      <c r="B7" s="84" t="str">
        <f>IFERROR(IF(INDEX(Poles!$A:$F,MATCH('Poles Results'!$E7,Poles!$F:$F,0),2)&gt;0,INDEX(Poles!$A:$F,MATCH('Poles Results'!$E7,Poles!$F:$F,0),2),""),"")</f>
        <v xml:space="preserve">Keenan Lenzen </v>
      </c>
      <c r="C7" s="84" t="str">
        <f>IFERROR(IF(INDEX(Poles!$A:$F,MATCH('Poles Results'!E7,Poles!$F:$F,0),3)&gt;0,INDEX(Poles!$A:$F,MATCH('Poles Results'!E7,Poles!$F:$F,0),3),""),"")</f>
        <v>Dasher</v>
      </c>
      <c r="D7" s="85">
        <f>IFERROR(IF(AND(SMALL(Poles!F:F,K7)&gt;1000,SMALL(Poles!F:F,K7)&lt;3000),"nt",IF(SMALL(Poles!F:F,K7)&gt;3000,"",SMALL(Poles!F:F,K7))),"")</f>
        <v>28.817000020000002</v>
      </c>
      <c r="E7" s="115">
        <f>IF(D7="nt",IFERROR(SMALL(Poles!F:F,K7),""),IF(D7&gt;3000,"",IFERROR(SMALL(Poles!F:F,K7),"")))</f>
        <v>28.817000020000002</v>
      </c>
      <c r="F7" s="86" t="str">
        <f t="shared" si="0"/>
        <v>3D</v>
      </c>
      <c r="G7" s="91" t="str">
        <f t="shared" si="1"/>
        <v/>
      </c>
      <c r="J7" s="121"/>
      <c r="K7" s="24">
        <v>6</v>
      </c>
    </row>
    <row r="8" spans="1:11">
      <c r="A8" s="18">
        <f>IFERROR(IF(INDEX(Poles!$A:$F,MATCH('Poles Results'!$E8,Poles!$F:$F,0),1)&gt;0,INDEX(Poles!$A:$F,MATCH('Poles Results'!$E8,Poles!$F:$F,0),1),""),"")</f>
        <v>7</v>
      </c>
      <c r="B8" s="84" t="str">
        <f>IFERROR(IF(INDEX(Poles!$A:$F,MATCH('Poles Results'!$E8,Poles!$F:$F,0),2)&gt;0,INDEX(Poles!$A:$F,MATCH('Poles Results'!$E8,Poles!$F:$F,0),2),""),"")</f>
        <v xml:space="preserve">Kayla Papendick </v>
      </c>
      <c r="C8" s="84" t="str">
        <f>IFERROR(IF(INDEX(Poles!$A:$F,MATCH('Poles Results'!E8,Poles!$F:$F,0),3)&gt;0,INDEX(Poles!$A:$F,MATCH('Poles Results'!E8,Poles!$F:$F,0),3),""),"")</f>
        <v xml:space="preserve">Buddy </v>
      </c>
      <c r="D8" s="85">
        <f>IFERROR(IF(AND(SMALL(Poles!F:F,K8)&gt;1000,SMALL(Poles!F:F,K8)&lt;3000),"nt",IF(SMALL(Poles!F:F,K8)&gt;3000,"",SMALL(Poles!F:F,K8))),"")</f>
        <v>936.96700007000004</v>
      </c>
      <c r="E8" s="115">
        <f>IF(D8="nt",IFERROR(SMALL(Poles!F:F,K8),""),IF(D8&gt;3000,"",IFERROR(SMALL(Poles!F:F,K8),"")))</f>
        <v>936.96700007000004</v>
      </c>
      <c r="F8" s="86" t="str">
        <f t="shared" si="0"/>
        <v>3D</v>
      </c>
      <c r="G8" s="91" t="str">
        <f t="shared" si="1"/>
        <v/>
      </c>
      <c r="J8" s="121" t="s">
        <v>179</v>
      </c>
      <c r="K8" s="24">
        <v>7</v>
      </c>
    </row>
    <row r="9" spans="1:11">
      <c r="A9" s="18">
        <f>IFERROR(IF(INDEX(Poles!$A:$F,MATCH('Poles Results'!$E9,Poles!$F:$F,0),1)&gt;0,INDEX(Poles!$A:$F,MATCH('Poles Results'!$E9,Poles!$F:$F,0),1),""),"")</f>
        <v>5</v>
      </c>
      <c r="B9" s="84" t="str">
        <f>IFERROR(IF(INDEX(Poles!$A:$F,MATCH('Poles Results'!$E9,Poles!$F:$F,0),2)&gt;0,INDEX(Poles!$A:$F,MATCH('Poles Results'!$E9,Poles!$F:$F,0),2),""),"")</f>
        <v xml:space="preserve">Stella Schuler </v>
      </c>
      <c r="C9" s="84" t="str">
        <f>IFERROR(IF(INDEX(Poles!$A:$F,MATCH('Poles Results'!E9,Poles!$F:$F,0),3)&gt;0,INDEX(Poles!$A:$F,MATCH('Poles Results'!E9,Poles!$F:$F,0),3),""),"")</f>
        <v>RCK Guys Mabelline</v>
      </c>
      <c r="D9" s="85" t="str">
        <f>IFERROR(IF(AND(SMALL(Poles!F:F,K9)&gt;1000,SMALL(Poles!F:F,K9)&lt;3000),"nt",IF(SMALL(Poles!F:F,K9)&gt;3000,"",SMALL(Poles!F:F,K9))),"")</f>
        <v>nt</v>
      </c>
      <c r="E9" s="115">
        <f>IF(D9="nt",IFERROR(SMALL(Poles!F:F,K9),""),IF(D9&gt;3000,"",IFERROR(SMALL(Poles!F:F,K9),"")))</f>
        <v>1000.00000005</v>
      </c>
      <c r="F9" s="86" t="str">
        <f t="shared" si="0"/>
        <v>2D</v>
      </c>
      <c r="G9" s="91" t="str">
        <f t="shared" si="1"/>
        <v/>
      </c>
      <c r="J9" s="121"/>
      <c r="K9" s="24">
        <v>8</v>
      </c>
    </row>
    <row r="10" spans="1:11">
      <c r="A10" s="18">
        <f>IFERROR(IF(INDEX(Poles!$A:$F,MATCH('Poles Results'!$E10,Poles!$F:$F,0),1)&gt;0,INDEX(Poles!$A:$F,MATCH('Poles Results'!$E10,Poles!$F:$F,0),1),""),"")</f>
        <v>9</v>
      </c>
      <c r="B10" s="84" t="str">
        <f>IFERROR(IF(INDEX(Poles!$A:$F,MATCH('Poles Results'!$E10,Poles!$F:$F,0),2)&gt;0,INDEX(Poles!$A:$F,MATCH('Poles Results'!$E10,Poles!$F:$F,0),2),""),"")</f>
        <v xml:space="preserve">Keenan Lenzen </v>
      </c>
      <c r="C10" s="84" t="str">
        <f>IFERROR(IF(INDEX(Poles!$A:$F,MATCH('Poles Results'!E10,Poles!$F:$F,0),3)&gt;0,INDEX(Poles!$A:$F,MATCH('Poles Results'!E10,Poles!$F:$F,0),3),""),"")</f>
        <v>Kitty Dun It</v>
      </c>
      <c r="D10" s="85" t="str">
        <f>IFERROR(IF(AND(SMALL(Poles!F:F,K10)&gt;1000,SMALL(Poles!F:F,K10)&lt;3000),"nt",IF(SMALL(Poles!F:F,K10)&gt;3000,"",SMALL(Poles!F:F,K10))),"")</f>
        <v>nt</v>
      </c>
      <c r="E10" s="115">
        <f>IF(D10="nt",IFERROR(SMALL(Poles!F:F,K10),""),IF(D10&gt;3000,"",IFERROR(SMALL(Poles!F:F,K10),"")))</f>
        <v>1000.00000009</v>
      </c>
      <c r="F10" s="86" t="str">
        <f t="shared" si="0"/>
        <v>2D</v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>1D</v>
      </c>
      <c r="B2" s="7">
        <f>IFERROR(IF(A2=$B$1,Poles!F2,""),"")</f>
        <v>24.86600001</v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>3D</v>
      </c>
      <c r="B3" s="7" t="str">
        <f>IFERROR(IF(A3=$B$1,Poles!F3,""),"")</f>
        <v/>
      </c>
      <c r="C3" s="7" t="str">
        <f>IFERROR(IF(A3=$C$1,Poles!F3,""),"")</f>
        <v/>
      </c>
      <c r="D3" s="7">
        <f>IFERROR(IF(A3=$D$1,Poles!F3,""),"")</f>
        <v>28.817000020000002</v>
      </c>
      <c r="E3" s="3"/>
      <c r="F3" s="8">
        <f>MIN(Poles!D:D)</f>
        <v>23.318999999999999</v>
      </c>
      <c r="G3" s="11" t="s">
        <v>3</v>
      </c>
      <c r="H3" s="63"/>
    </row>
    <row r="4" spans="1:23">
      <c r="A4" s="3" t="str">
        <f>IFERROR(VLOOKUP(Poles!F4,$F$3:$G$5,2,TRUE),"")</f>
        <v>3D</v>
      </c>
      <c r="B4" s="7" t="str">
        <f>IFERROR(IF(A4=$B$1,Poles!F4,""),"")</f>
        <v/>
      </c>
      <c r="C4" s="7" t="str">
        <f>IFERROR(IF(A4=$C$1,Poles!F4,""),"")</f>
        <v/>
      </c>
      <c r="D4" s="7">
        <f>IFERROR(IF(A4=$D$1,Poles!F4,""),"")</f>
        <v>27.680000029999999</v>
      </c>
      <c r="E4" s="3"/>
      <c r="F4" s="9">
        <f>(F3+2)</f>
        <v>25.318999999999999</v>
      </c>
      <c r="G4" s="12" t="s">
        <v>4</v>
      </c>
      <c r="H4" s="63"/>
    </row>
    <row r="5" spans="1:23" ht="16.5" thickBot="1">
      <c r="A5" s="3" t="str">
        <f>IFERROR(VLOOKUP(Poles!F5,$F$3:$G$5,2,TRUE),"")</f>
        <v>1D</v>
      </c>
      <c r="B5" s="7">
        <f>IFERROR(IF(A5=$B$1,Poles!F5,""),"")</f>
        <v>23.319000039999999</v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27.318999999999999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>3D</v>
      </c>
      <c r="B6" s="7" t="str">
        <f>IFERROR(IF(A6=$B$1,Poles!F6,""),"")</f>
        <v/>
      </c>
      <c r="C6" s="7" t="str">
        <f>IFERROR(IF(A6=$C$1,Poles!F6,""),"")</f>
        <v/>
      </c>
      <c r="D6" s="7">
        <f>IFERROR(IF(A6=$D$1,Poles!F6,""),"")</f>
        <v>1000.00000005</v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>3D</v>
      </c>
      <c r="B7" s="7" t="str">
        <f>IFERROR(IF(A7=$B$1,Poles!F7,""),"")</f>
        <v/>
      </c>
      <c r="C7" s="7" t="str">
        <f>IFERROR(IF(A7=$C$1,Poles!F7,""),"")</f>
        <v/>
      </c>
      <c r="D7" s="7">
        <f>IFERROR(IF(A7=$D$1,Poles!F7,""),"")</f>
        <v>28.632000060000003</v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72</v>
      </c>
      <c r="U7" s="152">
        <f t="shared" ref="U7:V11" si="0">IF($R$13&lt;=10,$O7,IF(AND($R$13&gt;10,$R$13&lt;=15),$P7,IF(AND($R$13&gt;15,$R$13&lt;=30),$Q7,IF(AND($R$13&gt;30,$R$13&lt;=60),$R7,IF(AND($R$13&gt;60,$R$13&lt;=90),$S7,"")))))*U$12</f>
        <v>43.199999999999996</v>
      </c>
      <c r="V7" s="152">
        <f t="shared" si="0"/>
        <v>28.8</v>
      </c>
      <c r="W7" s="17"/>
    </row>
    <row r="8" spans="1:23" ht="15.75">
      <c r="A8" s="3" t="str">
        <f>IFERROR(VLOOKUP(Poles!F8,$F$3:$G$5,2,TRUE),"")</f>
        <v>3D</v>
      </c>
      <c r="B8" s="7" t="str">
        <f>IFERROR(IF(A8=$B$1,Poles!F8,""),"")</f>
        <v/>
      </c>
      <c r="C8" s="7" t="str">
        <f>IFERROR(IF(A8=$C$1,Poles!F8,""),"")</f>
        <v/>
      </c>
      <c r="D8" s="7">
        <f>IFERROR(IF(A8=$D$1,Poles!F8,""),"")</f>
        <v>936.96700007000004</v>
      </c>
      <c r="E8" s="3"/>
      <c r="F8" s="247" t="s">
        <v>3</v>
      </c>
      <c r="G8" s="64" t="str">
        <f>IF(H8="-","-","1st")</f>
        <v>1st</v>
      </c>
      <c r="H8" s="64" t="str">
        <f>IFERROR(INDEX(Poles!$B:$F,MATCH(J8,Poles!$F:$F,0),1),"-")</f>
        <v>Laynie Schuler</v>
      </c>
      <c r="I8" s="64" t="str">
        <f>IFERROR(INDEX(Poles!$B:$F,MATCH(J8,Poles!$F:$F,0),2),"-")</f>
        <v>Stolis Prissy Genes</v>
      </c>
      <c r="J8" s="7">
        <f>IFERROR(SMALL($B$2:$B$300,L8),"-")</f>
        <v>23.319000039999999</v>
      </c>
      <c r="K8" s="153">
        <f>IF(T7&gt;0,T7,"")</f>
        <v>72</v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>1D</v>
      </c>
      <c r="B9" s="7">
        <f>IFERROR(IF(A9=$B$1,Poles!F9,""),"")</f>
        <v>25.098000079999998</v>
      </c>
      <c r="C9" s="7" t="str">
        <f>IFERROR(IF(A9=$C$1,Poles!F9,""),"")</f>
        <v/>
      </c>
      <c r="D9" s="7" t="str">
        <f>IFERROR(IF(A9=$D$1,Poles!F9,""),"")</f>
        <v/>
      </c>
      <c r="E9" s="3"/>
      <c r="F9" s="233"/>
      <c r="G9" s="16" t="str">
        <f>IF(H9="-","-","2nd")</f>
        <v>2nd</v>
      </c>
      <c r="H9" s="64" t="str">
        <f>IFERROR(INDEX(Poles!$B:$F,MATCH(J9,Poles!$F:$F,0),1),"-")</f>
        <v xml:space="preserve">Jessica Mueller </v>
      </c>
      <c r="I9" s="64" t="str">
        <f>IFERROR(INDEX(Poles!$B:$F,MATCH(J9,Poles!$F:$F,0),2),"-")</f>
        <v xml:space="preserve">MFR Laughing Xena </v>
      </c>
      <c r="J9" s="7">
        <f>IFERROR(SMALL($B$2:$B$300,L9),"-")</f>
        <v>24.86600001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>3D</v>
      </c>
      <c r="B10" s="7" t="str">
        <f>IFERROR(IF(A10=$B$1,Poles!F10,""),"")</f>
        <v/>
      </c>
      <c r="C10" s="7" t="str">
        <f>IFERROR(IF(A10=$C$1,Poles!F10,""),"")</f>
        <v/>
      </c>
      <c r="D10" s="7">
        <f>IFERROR(IF(A10=$D$1,Poles!F10,""),"")</f>
        <v>1000.00000009</v>
      </c>
      <c r="E10" s="3"/>
      <c r="F10" s="233"/>
      <c r="G10" s="16" t="str">
        <f>IF(H10="-","-","3rd")</f>
        <v>3rd</v>
      </c>
      <c r="H10" s="64" t="str">
        <f>IFERROR(INDEX(Poles!$B:$F,MATCH(J10,Poles!$F:$F,0),1),"-")</f>
        <v xml:space="preserve">Kara Martin </v>
      </c>
      <c r="I10" s="64" t="str">
        <f>IFERROR(INDEX(Poles!$B:$F,MATCH(J10,Poles!$F:$F,0),2),"-")</f>
        <v xml:space="preserve">TQH Smart Ransome </v>
      </c>
      <c r="J10" s="7">
        <f>IFERROR(SMALL($B$2:$B$300,L10),"-")</f>
        <v>25.098000079999998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33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3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72</v>
      </c>
      <c r="U12" s="151">
        <f>U5*$R$15</f>
        <v>43.199999999999996</v>
      </c>
      <c r="V12" s="151">
        <f>V5*$R$15</f>
        <v>28.8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4" t="s">
        <v>75</v>
      </c>
      <c r="P13" s="234"/>
      <c r="Q13" s="234"/>
      <c r="R13" s="17">
        <f>Poles!J9</f>
        <v>9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33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>
        <f>IF(U7&gt;0,U7,"")</f>
        <v>43.199999999999996</v>
      </c>
      <c r="L14">
        <v>1</v>
      </c>
      <c r="O14" s="234" t="s">
        <v>76</v>
      </c>
      <c r="P14" s="234"/>
      <c r="Q14" s="234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33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4" t="s">
        <v>79</v>
      </c>
      <c r="P15" s="234"/>
      <c r="Q15" s="234"/>
      <c r="R15" s="151">
        <f>(R13*R14)+Poles!J3</f>
        <v>144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33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4" t="s">
        <v>10</v>
      </c>
      <c r="P16" s="234"/>
      <c r="Q16" s="234"/>
      <c r="R16" s="151">
        <f>R15*W5</f>
        <v>144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3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3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33" t="s">
        <v>5</v>
      </c>
      <c r="G20" s="16" t="str">
        <f>IF(H20="-","-","1st")</f>
        <v>1st</v>
      </c>
      <c r="H20" s="16" t="str">
        <f>IFERROR(INDEX(Poles!B:F,MATCH(J20,Poles!F:F,0),1),"-")</f>
        <v xml:space="preserve">Kara Martin </v>
      </c>
      <c r="I20" s="16" t="str">
        <f>IFERROR(INDEX(Poles!B:F,MATCH(J20,Poles!F:F,0),2),"-")</f>
        <v>Fame</v>
      </c>
      <c r="J20" s="4">
        <f>IFERROR(IF(SMALL($D$2:$D$300,L20)&lt;900,SMALL($D$2:$D$300,L20),"-"),"-")</f>
        <v>27.680000029999999</v>
      </c>
      <c r="K20" s="154">
        <f>IF(V7&gt;0,V7,"")</f>
        <v>28.8</v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33"/>
      <c r="G21" s="16" t="str">
        <f>IF(H21="-","-","2nd")</f>
        <v>2nd</v>
      </c>
      <c r="H21" s="16" t="str">
        <f>IFERROR(INDEX(Poles!B:F,MATCH(J21,Poles!F:F,0),1),"-")</f>
        <v xml:space="preserve">Abbie Wildeboer </v>
      </c>
      <c r="I21" s="16" t="str">
        <f>IFERROR(INDEX(Poles!B:F,MATCH(J21,Poles!F:F,0),2),"-")</f>
        <v xml:space="preserve">Bootscootinboogie </v>
      </c>
      <c r="J21" s="4">
        <f>IFERROR(IF(SMALL($D$2:$D$300,L21)&lt;900,SMALL($D$2:$D$300,L21),"-"),"-")</f>
        <v>28.632000060000003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33"/>
      <c r="G22" s="16" t="str">
        <f>IF(H22="-","-","3rd")</f>
        <v>3rd</v>
      </c>
      <c r="H22" s="16" t="str">
        <f>IFERROR(INDEX(Poles!B:F,MATCH(J22,Poles!F:F,0),1),"-")</f>
        <v xml:space="preserve">Keenan Lenzen </v>
      </c>
      <c r="I22" s="16" t="str">
        <f>IFERROR(INDEX(Poles!B:F,MATCH(J22,Poles!F:F,0),2),"-")</f>
        <v>Dasher</v>
      </c>
      <c r="J22" s="4">
        <f>IFERROR(IF(SMALL($D$2:$D$300,L22)&lt;900,SMALL($D$2:$D$300,L22),"-"),"-")</f>
        <v>28.817000020000002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3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workbookViewId="0">
      <pane ySplit="2" topLeftCell="A43" activePane="bottomLeft" state="frozen"/>
      <selection pane="bottomLeft" activeCell="F43" sqref="F43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/>
      <c r="D3" s="106"/>
      <c r="E3" s="106"/>
      <c r="F3" s="177"/>
      <c r="G3" s="112"/>
      <c r="H3" s="113"/>
      <c r="I3" s="17">
        <v>1.0000000000000001E-9</v>
      </c>
      <c r="J3" s="17" t="str">
        <f>IF(C3="yco",1000+I3,IF((C3+$I3)&lt;1,"",C3+$I3))</f>
        <v/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/>
      <c r="D4" s="105"/>
      <c r="E4" s="105"/>
      <c r="F4" s="107"/>
      <c r="G4" s="95"/>
      <c r="H4" s="32"/>
      <c r="I4" s="17">
        <v>2.0000000000000001E-9</v>
      </c>
      <c r="J4" s="17" t="str">
        <f>IF(C4="yco",1000+I4,IF((C4+$I4)&lt;1,"",C4+$I4))</f>
        <v/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33</v>
      </c>
      <c r="D5" s="105"/>
      <c r="E5" s="105"/>
      <c r="F5" s="107"/>
      <c r="G5" s="95" t="s">
        <v>87</v>
      </c>
      <c r="H5" s="32" t="s">
        <v>88</v>
      </c>
      <c r="I5" s="17">
        <v>3E-9</v>
      </c>
      <c r="J5" s="17">
        <f>IF(C5="yco",1000+I5,IF((C5+$I5)&lt;1,"",C5+$I5))</f>
        <v>33.000000002999997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44</v>
      </c>
      <c r="D6" s="105"/>
      <c r="E6" s="105"/>
      <c r="F6" s="107"/>
      <c r="G6" s="95" t="s">
        <v>89</v>
      </c>
      <c r="H6" s="32" t="s">
        <v>90</v>
      </c>
      <c r="I6" s="17">
        <v>4.0000000000000002E-9</v>
      </c>
      <c r="J6" s="183">
        <f>IF(C6="yco",1000+I6,IF((C6+$I6)&lt;1,"",C6+$I6))</f>
        <v>44.000000004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/>
      <c r="D7" s="105"/>
      <c r="E7" s="105"/>
      <c r="F7" s="107"/>
      <c r="G7" s="95"/>
      <c r="H7" s="32"/>
      <c r="I7" s="17">
        <v>5.0000000000000001E-9</v>
      </c>
      <c r="J7" s="17" t="str">
        <f t="shared" ref="J7:J68" si="5">IF(C7="yco",1000+I7,IF((C7+$I7)&lt;1,"",C7+$I7))</f>
        <v/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2</v>
      </c>
      <c r="D8" s="105"/>
      <c r="E8" s="105"/>
      <c r="F8" s="107"/>
      <c r="G8" s="95" t="s">
        <v>91</v>
      </c>
      <c r="H8" s="32" t="s">
        <v>92</v>
      </c>
      <c r="I8" s="17">
        <v>6E-9</v>
      </c>
      <c r="J8" s="17">
        <f t="shared" si="5"/>
        <v>2.0000000060000001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99</v>
      </c>
      <c r="D9" s="105"/>
      <c r="E9" s="105"/>
      <c r="F9" s="107"/>
      <c r="G9" s="95" t="s">
        <v>91</v>
      </c>
      <c r="H9" s="32" t="s">
        <v>93</v>
      </c>
      <c r="I9" s="17">
        <v>6.9999999999999998E-9</v>
      </c>
      <c r="J9" s="17">
        <f t="shared" si="5"/>
        <v>99.000000006999997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55</v>
      </c>
      <c r="D10" s="105"/>
      <c r="E10" s="105"/>
      <c r="F10" s="107"/>
      <c r="G10" s="95" t="s">
        <v>94</v>
      </c>
      <c r="H10" s="32" t="s">
        <v>95</v>
      </c>
      <c r="I10" s="17">
        <v>8.0000000000000005E-9</v>
      </c>
      <c r="J10" s="17">
        <f t="shared" si="5"/>
        <v>55.000000008000001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14</v>
      </c>
      <c r="D11" s="105"/>
      <c r="E11" s="105"/>
      <c r="F11" s="107"/>
      <c r="G11" s="95" t="s">
        <v>146</v>
      </c>
      <c r="H11" s="32" t="s">
        <v>147</v>
      </c>
      <c r="I11" s="17">
        <v>8.9999999999999995E-9</v>
      </c>
      <c r="J11" s="17">
        <f t="shared" si="5"/>
        <v>14.000000009000001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1</v>
      </c>
      <c r="D12" s="105"/>
      <c r="E12" s="105"/>
      <c r="F12" s="107"/>
      <c r="G12" s="95" t="s">
        <v>96</v>
      </c>
      <c r="H12" s="32" t="s">
        <v>97</v>
      </c>
      <c r="I12" s="17">
        <v>1E-8</v>
      </c>
      <c r="J12" s="17">
        <f t="shared" si="5"/>
        <v>1.0000000099999999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98</v>
      </c>
      <c r="D13" s="105"/>
      <c r="E13" s="105"/>
      <c r="F13" s="107"/>
      <c r="G13" s="95" t="s">
        <v>96</v>
      </c>
      <c r="H13" s="32" t="s">
        <v>98</v>
      </c>
      <c r="I13" s="17">
        <v>1.0999999999999999E-8</v>
      </c>
      <c r="J13" s="17">
        <f t="shared" si="5"/>
        <v>98.000000010999997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1</v>
      </c>
      <c r="D14" s="105"/>
      <c r="E14" s="105"/>
      <c r="F14" s="107"/>
      <c r="G14" s="95" t="s">
        <v>99</v>
      </c>
      <c r="H14" s="32" t="s">
        <v>100</v>
      </c>
      <c r="I14" s="17">
        <v>1.2E-8</v>
      </c>
      <c r="J14" s="17">
        <f t="shared" si="5"/>
        <v>1.0000000120000001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99</v>
      </c>
      <c r="D15" s="105"/>
      <c r="E15" s="105"/>
      <c r="F15" s="107"/>
      <c r="G15" s="95" t="s">
        <v>99</v>
      </c>
      <c r="H15" s="32" t="s">
        <v>101</v>
      </c>
      <c r="I15" s="17">
        <v>1.3000000000000001E-8</v>
      </c>
      <c r="J15" s="17">
        <f t="shared" si="5"/>
        <v>99.000000013000005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55</v>
      </c>
      <c r="D16" s="105"/>
      <c r="E16" s="105"/>
      <c r="F16" s="107"/>
      <c r="G16" s="95" t="s">
        <v>102</v>
      </c>
      <c r="H16" s="32" t="s">
        <v>103</v>
      </c>
      <c r="I16" s="17">
        <v>1.4E-8</v>
      </c>
      <c r="J16" s="17">
        <f t="shared" si="5"/>
        <v>55.000000014000001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/>
      <c r="D17" s="105"/>
      <c r="E17" s="105"/>
      <c r="F17" s="107"/>
      <c r="G17" s="95"/>
      <c r="H17" s="32"/>
      <c r="I17" s="17">
        <v>1.4999999999999999E-8</v>
      </c>
      <c r="J17" s="17" t="str">
        <f t="shared" si="5"/>
        <v/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1</v>
      </c>
      <c r="D18" s="105"/>
      <c r="E18" s="105"/>
      <c r="F18" s="107"/>
      <c r="G18" s="95" t="s">
        <v>104</v>
      </c>
      <c r="H18" s="32" t="s">
        <v>105</v>
      </c>
      <c r="I18" s="17">
        <v>1.6000000000000001E-8</v>
      </c>
      <c r="J18" s="17">
        <f t="shared" si="5"/>
        <v>1.000000016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99</v>
      </c>
      <c r="D19" s="105"/>
      <c r="E19" s="105"/>
      <c r="F19" s="107"/>
      <c r="G19" s="95" t="s">
        <v>104</v>
      </c>
      <c r="H19" s="32" t="s">
        <v>106</v>
      </c>
      <c r="I19" s="17">
        <v>1.7E-8</v>
      </c>
      <c r="J19" s="17">
        <f t="shared" si="5"/>
        <v>99.000000017000005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3</v>
      </c>
      <c r="D20" s="105"/>
      <c r="E20" s="105"/>
      <c r="F20" s="107"/>
      <c r="G20" s="95" t="s">
        <v>107</v>
      </c>
      <c r="H20" s="32" t="s">
        <v>108</v>
      </c>
      <c r="I20" s="17">
        <v>1.7999999999999999E-8</v>
      </c>
      <c r="J20" s="17">
        <f t="shared" si="5"/>
        <v>3.0000000180000002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/>
      <c r="D21" s="105"/>
      <c r="E21" s="105"/>
      <c r="F21" s="107"/>
      <c r="G21" s="95" t="s">
        <v>107</v>
      </c>
      <c r="H21" s="32" t="s">
        <v>109</v>
      </c>
      <c r="I21" s="17">
        <v>1.9000000000000001E-8</v>
      </c>
      <c r="J21" s="17" t="str">
        <f t="shared" si="5"/>
        <v/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/>
      <c r="D22" s="105"/>
      <c r="E22" s="105"/>
      <c r="F22" s="107"/>
      <c r="G22" s="95"/>
      <c r="H22" s="32"/>
      <c r="I22" s="17">
        <v>2E-8</v>
      </c>
      <c r="J22" s="17" t="str">
        <f t="shared" si="5"/>
        <v/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/>
      <c r="D23" s="105"/>
      <c r="E23" s="105"/>
      <c r="F23" s="107"/>
      <c r="G23" s="95"/>
      <c r="H23" s="32"/>
      <c r="I23" s="17">
        <v>2.0999999999999999E-8</v>
      </c>
      <c r="J23" s="17" t="str">
        <f t="shared" si="5"/>
        <v/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22</v>
      </c>
      <c r="D24" s="105"/>
      <c r="E24" s="105"/>
      <c r="F24" s="107"/>
      <c r="G24" s="95" t="s">
        <v>110</v>
      </c>
      <c r="H24" s="32" t="s">
        <v>111</v>
      </c>
      <c r="I24" s="17">
        <v>2.1999999999999998E-8</v>
      </c>
      <c r="J24" s="17">
        <f t="shared" si="5"/>
        <v>22.000000021999998</v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/>
      <c r="D25" s="105"/>
      <c r="E25" s="105"/>
      <c r="F25" s="107"/>
      <c r="G25" s="95"/>
      <c r="H25" s="32"/>
      <c r="I25" s="17">
        <v>2.3000000000000001E-8</v>
      </c>
      <c r="J25" s="17" t="str">
        <f t="shared" si="5"/>
        <v/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/>
      <c r="D26" s="105"/>
      <c r="E26" s="105"/>
      <c r="F26" s="107"/>
      <c r="G26" s="95"/>
      <c r="H26" s="32"/>
      <c r="I26" s="17">
        <v>2.4E-8</v>
      </c>
      <c r="J26" s="17" t="str">
        <f t="shared" si="5"/>
        <v/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/>
      <c r="D27" s="105"/>
      <c r="E27" s="105"/>
      <c r="F27" s="107"/>
      <c r="G27" s="95"/>
      <c r="H27" s="32"/>
      <c r="I27" s="17">
        <v>2.4999999999999999E-8</v>
      </c>
      <c r="J27" s="17" t="str">
        <f t="shared" si="5"/>
        <v/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77</v>
      </c>
      <c r="D28" s="105"/>
      <c r="E28" s="105"/>
      <c r="F28" s="107"/>
      <c r="G28" s="95" t="s">
        <v>112</v>
      </c>
      <c r="H28" s="32" t="s">
        <v>113</v>
      </c>
      <c r="I28" s="17">
        <v>2.6000000000000001E-8</v>
      </c>
      <c r="J28" s="17">
        <f t="shared" si="5"/>
        <v>77.000000025999995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55</v>
      </c>
      <c r="D29" s="105"/>
      <c r="E29" s="105"/>
      <c r="F29" s="107"/>
      <c r="G29" s="95" t="s">
        <v>114</v>
      </c>
      <c r="H29" s="32" t="s">
        <v>115</v>
      </c>
      <c r="I29" s="17">
        <v>2.7E-8</v>
      </c>
      <c r="J29" s="17">
        <f t="shared" si="5"/>
        <v>55.000000026999999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33</v>
      </c>
      <c r="D30" s="105"/>
      <c r="E30" s="105"/>
      <c r="F30" s="107"/>
      <c r="G30" s="95" t="s">
        <v>116</v>
      </c>
      <c r="H30" s="32" t="s">
        <v>117</v>
      </c>
      <c r="I30" s="17">
        <v>2.7999999999999999E-8</v>
      </c>
      <c r="J30" s="17">
        <f t="shared" si="5"/>
        <v>33.000000028000002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/>
      <c r="D31" s="105"/>
      <c r="E31" s="105"/>
      <c r="F31" s="107"/>
      <c r="G31" s="95"/>
      <c r="H31" s="32"/>
      <c r="I31" s="17">
        <v>2.9000000000000002E-8</v>
      </c>
      <c r="J31" s="17" t="str">
        <f t="shared" si="5"/>
        <v/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1</v>
      </c>
      <c r="D32" s="105"/>
      <c r="E32" s="105"/>
      <c r="F32" s="107"/>
      <c r="G32" s="95" t="s">
        <v>118</v>
      </c>
      <c r="H32" s="32" t="s">
        <v>119</v>
      </c>
      <c r="I32" s="17">
        <v>2.9999999999999997E-8</v>
      </c>
      <c r="J32" s="17">
        <f t="shared" si="5"/>
        <v>1.00000003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99</v>
      </c>
      <c r="D33" s="105"/>
      <c r="E33" s="105"/>
      <c r="F33" s="107"/>
      <c r="G33" s="95" t="s">
        <v>118</v>
      </c>
      <c r="H33" s="32" t="s">
        <v>120</v>
      </c>
      <c r="I33" s="17">
        <v>3.1E-8</v>
      </c>
      <c r="J33" s="17">
        <f t="shared" si="5"/>
        <v>99.000000030999999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/>
      <c r="D34" s="105"/>
      <c r="E34" s="105"/>
      <c r="F34" s="107"/>
      <c r="G34" s="95"/>
      <c r="H34" s="32"/>
      <c r="I34" s="17">
        <v>3.2000000000000002E-8</v>
      </c>
      <c r="J34" s="17" t="str">
        <f t="shared" si="5"/>
        <v/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11</v>
      </c>
      <c r="D35" s="105"/>
      <c r="E35" s="105">
        <v>50</v>
      </c>
      <c r="F35" s="107"/>
      <c r="G35" s="95" t="s">
        <v>121</v>
      </c>
      <c r="H35" s="32" t="s">
        <v>122</v>
      </c>
      <c r="I35" s="17">
        <v>3.2999999999999998E-8</v>
      </c>
      <c r="J35" s="17">
        <f t="shared" si="5"/>
        <v>11.000000032999999</v>
      </c>
      <c r="K35" s="17">
        <f t="shared" si="1"/>
        <v>50.000000032999999</v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22</v>
      </c>
      <c r="D36" s="105"/>
      <c r="E36" s="105">
        <v>22</v>
      </c>
      <c r="F36" s="107">
        <v>22</v>
      </c>
      <c r="G36" s="95" t="s">
        <v>123</v>
      </c>
      <c r="H36" s="32" t="s">
        <v>124</v>
      </c>
      <c r="I36" s="17">
        <v>3.4E-8</v>
      </c>
      <c r="J36" s="17">
        <f t="shared" si="5"/>
        <v>22.000000033999999</v>
      </c>
      <c r="K36" s="17">
        <f t="shared" si="1"/>
        <v>22.000000033999999</v>
      </c>
      <c r="L36" s="17">
        <f t="shared" si="2"/>
        <v>22.000000033999999</v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/>
      <c r="D37" s="105"/>
      <c r="E37" s="105"/>
      <c r="F37" s="107"/>
      <c r="G37" s="95"/>
      <c r="H37" s="32"/>
      <c r="I37" s="17">
        <v>3.5000000000000002E-8</v>
      </c>
      <c r="J37" s="17" t="str">
        <f t="shared" si="5"/>
        <v/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1</v>
      </c>
      <c r="D38" s="105"/>
      <c r="E38" s="105"/>
      <c r="F38" s="107"/>
      <c r="G38" s="95" t="s">
        <v>125</v>
      </c>
      <c r="H38" s="32" t="s">
        <v>126</v>
      </c>
      <c r="I38" s="17">
        <v>3.5999999999999998E-8</v>
      </c>
      <c r="J38" s="17">
        <f t="shared" si="5"/>
        <v>1.0000000360000001</v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55</v>
      </c>
      <c r="D39" s="105"/>
      <c r="E39" s="105"/>
      <c r="F39" s="107"/>
      <c r="G39" s="95" t="s">
        <v>125</v>
      </c>
      <c r="H39" s="32" t="s">
        <v>127</v>
      </c>
      <c r="I39" s="17">
        <v>3.7E-8</v>
      </c>
      <c r="J39" s="17">
        <f t="shared" si="5"/>
        <v>55.000000037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101</v>
      </c>
      <c r="D40" s="105"/>
      <c r="E40" s="105"/>
      <c r="F40" s="107"/>
      <c r="G40" s="95" t="s">
        <v>125</v>
      </c>
      <c r="H40" s="32" t="s">
        <v>128</v>
      </c>
      <c r="I40" s="17">
        <v>3.8000000000000003E-8</v>
      </c>
      <c r="J40" s="17">
        <f t="shared" si="5"/>
        <v>101.000000038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/>
      <c r="D41" s="105"/>
      <c r="E41" s="105"/>
      <c r="F41" s="107"/>
      <c r="G41" s="95"/>
      <c r="H41" s="32"/>
      <c r="I41" s="17">
        <v>3.8999999999999998E-8</v>
      </c>
      <c r="J41" s="17" t="str">
        <f t="shared" si="5"/>
        <v/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77</v>
      </c>
      <c r="D42" s="105"/>
      <c r="E42" s="105">
        <v>252</v>
      </c>
      <c r="F42" s="107"/>
      <c r="G42" s="95" t="s">
        <v>129</v>
      </c>
      <c r="H42" s="32" t="s">
        <v>130</v>
      </c>
      <c r="I42" s="17">
        <v>4.0000000000000001E-8</v>
      </c>
      <c r="J42" s="17">
        <f t="shared" si="5"/>
        <v>77.000000040000003</v>
      </c>
      <c r="K42" s="17">
        <f t="shared" si="1"/>
        <v>252.00000004</v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44</v>
      </c>
      <c r="D43" s="105"/>
      <c r="E43" s="105"/>
      <c r="F43" s="107">
        <v>29</v>
      </c>
      <c r="G43" s="95" t="s">
        <v>131</v>
      </c>
      <c r="H43" s="32" t="s">
        <v>132</v>
      </c>
      <c r="I43" s="17">
        <v>4.1000000000000003E-8</v>
      </c>
      <c r="J43" s="17">
        <f t="shared" si="5"/>
        <v>44.000000041</v>
      </c>
      <c r="K43" s="17" t="str">
        <f t="shared" si="1"/>
        <v/>
      </c>
      <c r="L43" s="17">
        <f t="shared" si="2"/>
        <v>29.000000041</v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44</v>
      </c>
      <c r="D44" s="105"/>
      <c r="E44" s="105"/>
      <c r="F44" s="107"/>
      <c r="G44" s="95" t="s">
        <v>133</v>
      </c>
      <c r="H44" s="32" t="s">
        <v>134</v>
      </c>
      <c r="I44" s="17">
        <v>4.1999999999999999E-8</v>
      </c>
      <c r="J44" s="17">
        <f t="shared" si="5"/>
        <v>44.000000042000003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22</v>
      </c>
      <c r="D45" s="105"/>
      <c r="E45" s="105"/>
      <c r="F45" s="107"/>
      <c r="G45" s="95" t="s">
        <v>150</v>
      </c>
      <c r="H45" s="32" t="s">
        <v>151</v>
      </c>
      <c r="I45" s="17">
        <v>4.3000000000000001E-8</v>
      </c>
      <c r="J45" s="17">
        <f t="shared" si="5"/>
        <v>22.000000043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>
        <v>55</v>
      </c>
      <c r="D46" s="105"/>
      <c r="E46" s="105">
        <v>55</v>
      </c>
      <c r="F46" s="107"/>
      <c r="G46" s="95" t="s">
        <v>148</v>
      </c>
      <c r="H46" s="32" t="s">
        <v>149</v>
      </c>
      <c r="I46" s="17">
        <v>4.3999999999999997E-8</v>
      </c>
      <c r="J46" s="17">
        <f t="shared" si="5"/>
        <v>55.000000043999997</v>
      </c>
      <c r="K46" s="17">
        <f t="shared" si="1"/>
        <v>55.000000043999997</v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103</v>
      </c>
      <c r="D47" s="105"/>
      <c r="E47" s="105"/>
      <c r="F47" s="107"/>
      <c r="G47" s="95" t="s">
        <v>150</v>
      </c>
      <c r="H47" s="32" t="s">
        <v>152</v>
      </c>
      <c r="I47" s="17">
        <v>4.4999999999999999E-8</v>
      </c>
      <c r="J47" s="17">
        <f t="shared" si="5"/>
        <v>103.00000004499999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>
        <v>55</v>
      </c>
      <c r="D48" s="105"/>
      <c r="E48" s="105"/>
      <c r="F48" s="107"/>
      <c r="G48" s="95" t="s">
        <v>135</v>
      </c>
      <c r="H48" s="32" t="s">
        <v>136</v>
      </c>
      <c r="I48" s="17">
        <v>4.6000000000000002E-8</v>
      </c>
      <c r="J48" s="17">
        <f t="shared" si="5"/>
        <v>55.000000045999997</v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1</v>
      </c>
      <c r="D49" s="105"/>
      <c r="E49" s="105">
        <v>251</v>
      </c>
      <c r="F49" s="107"/>
      <c r="G49" s="95" t="s">
        <v>137</v>
      </c>
      <c r="H49" s="32" t="s">
        <v>138</v>
      </c>
      <c r="I49" s="17">
        <v>4.6999999999999997E-8</v>
      </c>
      <c r="J49" s="17">
        <f t="shared" si="5"/>
        <v>1.0000000469999999</v>
      </c>
      <c r="K49" s="17">
        <f t="shared" si="1"/>
        <v>251.00000004699999</v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>
        <v>99</v>
      </c>
      <c r="D50" s="105"/>
      <c r="E50" s="105"/>
      <c r="F50" s="107"/>
      <c r="G50" s="95" t="s">
        <v>137</v>
      </c>
      <c r="H50" s="32" t="s">
        <v>139</v>
      </c>
      <c r="I50" s="17">
        <v>4.8E-8</v>
      </c>
      <c r="J50" s="17">
        <f t="shared" si="5"/>
        <v>99.000000048000004</v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>
        <v>22</v>
      </c>
      <c r="D51" s="105"/>
      <c r="E51" s="105"/>
      <c r="F51" s="107"/>
      <c r="G51" s="95" t="s">
        <v>140</v>
      </c>
      <c r="H51" s="32" t="s">
        <v>141</v>
      </c>
      <c r="I51" s="17">
        <v>4.9000000000000002E-8</v>
      </c>
      <c r="J51" s="17">
        <f t="shared" si="5"/>
        <v>22.000000049000001</v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/>
      <c r="D52" s="105"/>
      <c r="E52" s="105"/>
      <c r="F52" s="107"/>
      <c r="G52" s="95"/>
      <c r="H52" s="32"/>
      <c r="I52" s="17">
        <v>4.9999999999999998E-8</v>
      </c>
      <c r="J52" s="17" t="str">
        <f t="shared" si="5"/>
        <v/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/>
      <c r="D53" s="105"/>
      <c r="E53" s="105">
        <v>250</v>
      </c>
      <c r="F53" s="107">
        <v>28</v>
      </c>
      <c r="G53" s="96" t="s">
        <v>142</v>
      </c>
      <c r="H53" s="60" t="s">
        <v>143</v>
      </c>
      <c r="I53" s="17">
        <v>5.1E-8</v>
      </c>
      <c r="J53" s="17" t="str">
        <f t="shared" si="5"/>
        <v/>
      </c>
      <c r="K53" s="17">
        <f t="shared" si="1"/>
        <v>250.000000051</v>
      </c>
      <c r="L53" s="17">
        <f t="shared" si="2"/>
        <v>28.000000051000001</v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>
        <v>5</v>
      </c>
      <c r="D55" s="105"/>
      <c r="E55" s="105"/>
      <c r="F55" s="107"/>
      <c r="G55" s="96" t="s">
        <v>144</v>
      </c>
      <c r="H55" s="60" t="s">
        <v>145</v>
      </c>
      <c r="I55" s="17">
        <v>5.2999999999999998E-8</v>
      </c>
      <c r="J55" s="17">
        <f t="shared" si="5"/>
        <v>5.0000000529999999</v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/>
      <c r="D56" s="105"/>
      <c r="E56" s="105"/>
      <c r="F56" s="107"/>
      <c r="G56" s="96"/>
      <c r="H56" s="60"/>
      <c r="I56" s="17">
        <v>5.4E-8</v>
      </c>
      <c r="J56" s="17" t="str">
        <f t="shared" si="5"/>
        <v/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102</v>
      </c>
      <c r="D57" s="105"/>
      <c r="E57" s="105"/>
      <c r="F57" s="107">
        <v>25</v>
      </c>
      <c r="G57" s="96" t="s">
        <v>153</v>
      </c>
      <c r="H57" s="60" t="s">
        <v>175</v>
      </c>
      <c r="I57" s="17">
        <v>5.5000000000000003E-8</v>
      </c>
      <c r="J57" s="17">
        <f t="shared" si="5"/>
        <v>102.000000055</v>
      </c>
      <c r="K57" s="17" t="str">
        <f t="shared" si="1"/>
        <v/>
      </c>
      <c r="L57" s="17">
        <f t="shared" si="2"/>
        <v>25.000000055000001</v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>
        <v>104</v>
      </c>
      <c r="D58" s="105"/>
      <c r="E58" s="105"/>
      <c r="F58" s="107">
        <v>27</v>
      </c>
      <c r="G58" s="96" t="s">
        <v>154</v>
      </c>
      <c r="H58" s="60" t="s">
        <v>155</v>
      </c>
      <c r="I58" s="17">
        <v>5.5999999999999999E-8</v>
      </c>
      <c r="J58" s="17">
        <f t="shared" si="5"/>
        <v>104.000000056</v>
      </c>
      <c r="K58" s="17" t="str">
        <f t="shared" si="1"/>
        <v/>
      </c>
      <c r="L58" s="17">
        <f t="shared" si="2"/>
        <v>27.000000056000001</v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>
        <v>111</v>
      </c>
      <c r="D59" s="105"/>
      <c r="E59" s="105"/>
      <c r="F59" s="107"/>
      <c r="G59" s="96" t="s">
        <v>153</v>
      </c>
      <c r="H59" s="60" t="s">
        <v>156</v>
      </c>
      <c r="I59" s="17">
        <v>5.7000000000000001E-8</v>
      </c>
      <c r="J59" s="17">
        <f t="shared" si="5"/>
        <v>111.00000005699999</v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>
        <v>104</v>
      </c>
      <c r="D60" s="105"/>
      <c r="E60" s="105"/>
      <c r="F60" s="107">
        <v>23</v>
      </c>
      <c r="G60" s="96" t="s">
        <v>116</v>
      </c>
      <c r="H60" s="60" t="s">
        <v>157</v>
      </c>
      <c r="I60" s="17">
        <v>5.8000000000000003E-8</v>
      </c>
      <c r="J60" s="17">
        <f t="shared" si="5"/>
        <v>104.000000058</v>
      </c>
      <c r="K60" s="17" t="str">
        <f t="shared" si="1"/>
        <v/>
      </c>
      <c r="L60" s="17">
        <f t="shared" si="2"/>
        <v>23.000000058000001</v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>
        <v>107</v>
      </c>
      <c r="D61" s="105"/>
      <c r="E61" s="105">
        <v>199</v>
      </c>
      <c r="F61" s="107"/>
      <c r="G61" s="96" t="s">
        <v>158</v>
      </c>
      <c r="H61" s="60" t="s">
        <v>159</v>
      </c>
      <c r="I61" s="17">
        <v>5.8999999999999999E-8</v>
      </c>
      <c r="J61" s="17">
        <f t="shared" si="5"/>
        <v>107.000000059</v>
      </c>
      <c r="K61" s="17">
        <f t="shared" si="1"/>
        <v>199.000000059</v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>
        <v>108</v>
      </c>
      <c r="D62" s="105"/>
      <c r="E62" s="105"/>
      <c r="F62" s="107"/>
      <c r="G62" s="96" t="s">
        <v>160</v>
      </c>
      <c r="H62" s="60" t="s">
        <v>161</v>
      </c>
      <c r="I62" s="17">
        <v>5.9999999999999995E-8</v>
      </c>
      <c r="J62" s="17">
        <f t="shared" si="5"/>
        <v>108.00000006</v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>
        <v>109</v>
      </c>
      <c r="D63" s="105"/>
      <c r="E63" s="105"/>
      <c r="F63" s="107"/>
      <c r="G63" s="96" t="s">
        <v>162</v>
      </c>
      <c r="H63" s="60" t="s">
        <v>163</v>
      </c>
      <c r="I63" s="17">
        <v>6.1000000000000004E-8</v>
      </c>
      <c r="J63" s="17">
        <f t="shared" si="5"/>
        <v>109.00000006099999</v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/>
      <c r="F65" s="107">
        <v>249</v>
      </c>
      <c r="G65" s="96" t="s">
        <v>114</v>
      </c>
      <c r="H65" s="60" t="s">
        <v>115</v>
      </c>
      <c r="I65" s="17">
        <v>6.2999999999999995E-8</v>
      </c>
      <c r="J65" s="17" t="str">
        <f t="shared" si="5"/>
        <v/>
      </c>
      <c r="K65" s="17" t="str">
        <f t="shared" si="1"/>
        <v/>
      </c>
      <c r="L65" s="17">
        <f t="shared" si="2"/>
        <v>249.00000006299999</v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>
        <v>250</v>
      </c>
      <c r="G66" s="96" t="s">
        <v>116</v>
      </c>
      <c r="H66" s="60" t="s">
        <v>161</v>
      </c>
      <c r="I66" s="17">
        <v>6.4000000000000004E-8</v>
      </c>
      <c r="J66" s="17" t="str">
        <f t="shared" si="5"/>
        <v/>
      </c>
      <c r="K66" s="17" t="str">
        <f t="shared" si="1"/>
        <v/>
      </c>
      <c r="L66" s="17">
        <f t="shared" si="2"/>
        <v>250.00000006400001</v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>
        <v>24</v>
      </c>
      <c r="G67" s="96" t="s">
        <v>114</v>
      </c>
      <c r="H67" s="60" t="s">
        <v>164</v>
      </c>
      <c r="I67" s="17">
        <v>6.5E-8</v>
      </c>
      <c r="J67" s="17" t="str">
        <f t="shared" si="5"/>
        <v/>
      </c>
      <c r="K67" s="17" t="str">
        <f t="shared" si="1"/>
        <v/>
      </c>
      <c r="L67" s="17">
        <f t="shared" si="2"/>
        <v>24.000000064999998</v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>
        <v>106</v>
      </c>
      <c r="D68" s="105"/>
      <c r="E68" s="105"/>
      <c r="F68" s="107"/>
      <c r="G68" s="96" t="s">
        <v>168</v>
      </c>
      <c r="H68" s="60" t="s">
        <v>176</v>
      </c>
      <c r="I68" s="17">
        <v>6.5999999999999995E-8</v>
      </c>
      <c r="J68" s="17">
        <f t="shared" si="5"/>
        <v>106.000000066</v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>
        <v>180</v>
      </c>
      <c r="F69" s="107"/>
      <c r="G69" s="96" t="s">
        <v>169</v>
      </c>
      <c r="H69" s="60" t="s">
        <v>170</v>
      </c>
      <c r="I69" s="17">
        <v>6.7000000000000004E-8</v>
      </c>
      <c r="J69" s="17" t="str">
        <f t="shared" ref="J69:J132" si="12">IF(C69="yco",1000+I69,IF((C69+$I69)&lt;1,"",C69+$I69))</f>
        <v/>
      </c>
      <c r="K69" s="17">
        <f t="shared" si="9"/>
        <v>180.000000067</v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>
        <v>112</v>
      </c>
      <c r="D70" s="105"/>
      <c r="E70" s="105">
        <v>182</v>
      </c>
      <c r="F70" s="107"/>
      <c r="G70" s="96" t="s">
        <v>171</v>
      </c>
      <c r="H70" s="60" t="s">
        <v>172</v>
      </c>
      <c r="I70" s="17">
        <v>6.8E-8</v>
      </c>
      <c r="J70" s="17">
        <f t="shared" si="12"/>
        <v>112.00000006800001</v>
      </c>
      <c r="K70" s="17">
        <f t="shared" si="9"/>
        <v>182.00000006799999</v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>
        <v>113</v>
      </c>
      <c r="D71" s="105"/>
      <c r="E71" s="105"/>
      <c r="F71" s="107"/>
      <c r="G71" s="96" t="s">
        <v>173</v>
      </c>
      <c r="H71" s="60" t="s">
        <v>174</v>
      </c>
      <c r="I71" s="17">
        <v>6.8999999999999996E-8</v>
      </c>
      <c r="J71" s="17">
        <f t="shared" si="12"/>
        <v>113.000000069</v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>
        <v>252</v>
      </c>
      <c r="F72" s="107"/>
      <c r="G72" s="96" t="s">
        <v>166</v>
      </c>
      <c r="H72" s="60" t="s">
        <v>178</v>
      </c>
      <c r="I72" s="17">
        <v>7.0000000000000005E-8</v>
      </c>
      <c r="J72" s="17" t="str">
        <f t="shared" si="12"/>
        <v/>
      </c>
      <c r="K72" s="17">
        <f t="shared" si="9"/>
        <v>252.00000007</v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>
        <v>181</v>
      </c>
      <c r="F73" s="107"/>
      <c r="G73" s="96" t="s">
        <v>89</v>
      </c>
      <c r="H73" s="60" t="s">
        <v>90</v>
      </c>
      <c r="I73" s="17">
        <v>7.1E-8</v>
      </c>
      <c r="J73" s="17" t="str">
        <f t="shared" si="12"/>
        <v/>
      </c>
      <c r="K73" s="17">
        <f t="shared" si="9"/>
        <v>181.00000007099999</v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>
        <v>253</v>
      </c>
      <c r="F74" s="107"/>
      <c r="G74" s="96" t="s">
        <v>87</v>
      </c>
      <c r="H74" s="60" t="s">
        <v>88</v>
      </c>
      <c r="I74" s="17">
        <v>7.1999999999999996E-8</v>
      </c>
      <c r="J74" s="17" t="str">
        <f t="shared" si="12"/>
        <v/>
      </c>
      <c r="K74" s="17">
        <f t="shared" si="9"/>
        <v>253.00000007200001</v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objects="1" scenarios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Kamryn Chapman </v>
      </c>
      <c r="C2" t="str">
        <f>IFERROR(INDEX('Enter Draw'!$C$3:$H$252,MATCH(SMALL('Enter Draw'!$J$3:$J$252,D2),'Enter Draw'!$J$3:$J$252,0),6),"")</f>
        <v xml:space="preserve">Firewater Marvel Ice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Jessica Mueller </v>
      </c>
      <c r="H2" t="str">
        <f>IFERROR(INDEX('Enter Draw'!$E$3:$H$252,MATCH(SMALL('Enter Draw'!$K$3:$K$252,D2),'Enter Draw'!$K$3:$K$252,0),4),"")</f>
        <v xml:space="preserve">MFR Laughing Xena 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 xml:space="preserve">Jessica Mueller </v>
      </c>
      <c r="L2" t="str">
        <f>IFERROR(INDEX('Enter Draw'!$F$3:$H$252,MATCH(SMALL('Enter Draw'!$L$3:$L$252,I2),'Enter Draw'!$L$3:$L$252,0),3),"")</f>
        <v xml:space="preserve">MFR Laughing Xena </v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Arabella Cook </v>
      </c>
      <c r="C3" t="str">
        <f>IFERROR(INDEX('Enter Draw'!$C$3:$H$252,MATCH(SMALL('Enter Draw'!$J$3:$J$252,D3),'Enter Draw'!$J$3:$J$252,0),6),"")</f>
        <v xml:space="preserve">Charge it to Serrina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Margaret Miller </v>
      </c>
      <c r="H3" t="str">
        <f>IFERROR(INDEX('Enter Draw'!$E$3:$H$252,MATCH(SMALL('Enter Draw'!$K$3:$K$252,D3),'Enter Draw'!$K$3:$K$252,0),4),"")</f>
        <v xml:space="preserve">Seven 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 xml:space="preserve">Keenan Lenzen </v>
      </c>
      <c r="L3" t="str">
        <f>IFERROR(INDEX('Enter Draw'!$F$3:$H$252,MATCH(SMALL('Enter Draw'!$L$3:$L$252,I3),'Enter Draw'!$L$3:$L$252,0),3),"")</f>
        <v>Dasher</v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Kristine DeBerg </v>
      </c>
      <c r="C4" t="str">
        <f>IFERROR(INDEX('Enter Draw'!$C$3:$H$252,MATCH(SMALL('Enter Draw'!$J$3:$J$252,D4),'Enter Draw'!$J$3:$J$252,0),6),"")</f>
        <v xml:space="preserve">Jessfrostmycake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 xml:space="preserve">Laura Roelfs </v>
      </c>
      <c r="H4" t="str">
        <f>IFERROR(INDEX('Enter Draw'!$E$3:$H$252,MATCH(SMALL('Enter Draw'!$K$3:$K$252,D4),'Enter Draw'!$K$3:$K$252,0),4),"")</f>
        <v xml:space="preserve">CheckCashinConway 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 xml:space="preserve">Kara Martin </v>
      </c>
      <c r="L4" t="str">
        <f>IFERROR(INDEX('Enter Draw'!$F$3:$H$252,MATCH(SMALL('Enter Draw'!$L$3:$L$252,I4),'Enter Draw'!$L$3:$L$252,0),3),"")</f>
        <v>Fame</v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Sara Jo Lamb </v>
      </c>
      <c r="C5" t="str">
        <f>IFERROR(INDEX('Enter Draw'!$C$3:$H$252,MATCH(SMALL('Enter Draw'!$J$3:$J$252,D5),'Enter Draw'!$J$3:$J$252,0),6),"")</f>
        <v xml:space="preserve">Chance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Jill Ellefson</v>
      </c>
      <c r="H5" t="str">
        <f>IFERROR(INDEX('Enter Draw'!$E$3:$H$252,MATCH(SMALL('Enter Draw'!$K$3:$K$252,D5),'Enter Draw'!$K$3:$K$252,0),4),"")</f>
        <v>Skittles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>Laynie Schuler</v>
      </c>
      <c r="L5" t="str">
        <f>IFERROR(INDEX('Enter Draw'!$F$3:$H$252,MATCH(SMALL('Enter Draw'!$L$3:$L$252,I5),'Enter Draw'!$L$3:$L$252,0),3),"")</f>
        <v>Stolis Prissy Genes</v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Maggie Noonan </v>
      </c>
      <c r="C6" t="str">
        <f>IFERROR(INDEX('Enter Draw'!$C$3:$H$252,MATCH(SMALL('Enter Draw'!$J$3:$J$252,D6),'Enter Draw'!$J$3:$J$252,0),6),"")</f>
        <v>Rook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 xml:space="preserve">Josey Booth </v>
      </c>
      <c r="H6" t="str">
        <f>IFERROR(INDEX('Enter Draw'!$E$3:$H$252,MATCH(SMALL('Enter Draw'!$K$3:$K$252,D6),'Enter Draw'!$K$3:$K$252,0),4),"")</f>
        <v xml:space="preserve">Sweet Red Bobby Sox 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 xml:space="preserve">Stella Schuler </v>
      </c>
      <c r="L6" t="str">
        <f>IFERROR(INDEX('Enter Draw'!$F$3:$H$252,MATCH(SMALL('Enter Draw'!$L$3:$L$252,I6),'Enter Draw'!$L$3:$L$252,0),3),"")</f>
        <v>RCK Guys Mabelline</v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>
        <f t="shared" si="0"/>
        <v>6</v>
      </c>
      <c r="K7" t="str">
        <f>IFERROR(INDEX('Enter Draw'!$F$3:$H$252,MATCH(SMALL('Enter Draw'!$L$3:$L$252,I7),'Enter Draw'!$L$3:$L$252,0),2),"")</f>
        <v xml:space="preserve">Abbie Wildeboer </v>
      </c>
      <c r="L7" t="str">
        <f>IFERROR(INDEX('Enter Draw'!$F$3:$H$252,MATCH(SMALL('Enter Draw'!$L$3:$L$252,I7),'Enter Draw'!$L$3:$L$252,0),3),"")</f>
        <v xml:space="preserve">Bootscootinboogie </v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Alix VanderVoort </v>
      </c>
      <c r="C8" t="str">
        <f>IFERROR(INDEX('Enter Draw'!$C$3:$H$252,MATCH(SMALL('Enter Draw'!$J$3:$J$252,D8),'Enter Draw'!$J$3:$J$252,0),6),"")</f>
        <v xml:space="preserve">I Dance for Perks 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Opal Harkins</v>
      </c>
      <c r="H8" t="str">
        <f>IFERROR(INDEX('Enter Draw'!$E$3:$H$252,MATCH(SMALL('Enter Draw'!$K$3:$K$252,D8),'Enter Draw'!$K$3:$K$252,0),4),"")</f>
        <v>Sully</v>
      </c>
      <c r="I8">
        <v>7</v>
      </c>
      <c r="J8" s="1">
        <f t="shared" si="0"/>
        <v>7</v>
      </c>
      <c r="K8" t="str">
        <f>IFERROR(INDEX('Enter Draw'!$F$3:$H$252,MATCH(SMALL('Enter Draw'!$L$3:$L$252,I8),'Enter Draw'!$L$3:$L$252,0),2),"")</f>
        <v xml:space="preserve">Kayla Papendick </v>
      </c>
      <c r="L8" t="str">
        <f>IFERROR(INDEX('Enter Draw'!$F$3:$H$252,MATCH(SMALL('Enter Draw'!$L$3:$L$252,I8),'Enter Draw'!$L$3:$L$252,0),3),"")</f>
        <v xml:space="preserve">Buddy </v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Faren Bebeau </v>
      </c>
      <c r="C9" t="str">
        <f>IFERROR(INDEX('Enter Draw'!$C$3:$H$252,MATCH(SMALL('Enter Draw'!$J$3:$J$252,D9),'Enter Draw'!$J$3:$J$252,0),6),"")</f>
        <v xml:space="preserve">Flashing Silk 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Blair Ellefson</v>
      </c>
      <c r="H9" t="str">
        <f>IFERROR(INDEX('Enter Draw'!$E$3:$H$252,MATCH(SMALL('Enter Draw'!$K$3:$K$252,D9),'Enter Draw'!$K$3:$K$252,0),4),"")</f>
        <v>Maple</v>
      </c>
      <c r="I9">
        <v>8</v>
      </c>
      <c r="J9" s="1">
        <f t="shared" si="0"/>
        <v>8</v>
      </c>
      <c r="K9" t="str">
        <f>IFERROR(INDEX('Enter Draw'!$F$3:$H$252,MATCH(SMALL('Enter Draw'!$L$3:$L$252,I9),'Enter Draw'!$L$3:$L$252,0),2),"")</f>
        <v xml:space="preserve">Kara Martin </v>
      </c>
      <c r="L9" t="str">
        <f>IFERROR(INDEX('Enter Draw'!$F$3:$H$252,MATCH(SMALL('Enter Draw'!$L$3:$L$252,I9),'Enter Draw'!$L$3:$L$252,0),3),"")</f>
        <v xml:space="preserve">TQH Smart Ransome </v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Carrie Dieters </v>
      </c>
      <c r="C10" t="str">
        <f>IFERROR(INDEX('Enter Draw'!$C$3:$H$252,MATCH(SMALL('Enter Draw'!$J$3:$J$252,D10),'Enter Draw'!$J$3:$J$252,0),6),"")</f>
        <v xml:space="preserve">Jackie's French Ice 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 xml:space="preserve">Abbie Wildeboer </v>
      </c>
      <c r="H10" t="str">
        <f>IFERROR(INDEX('Enter Draw'!$E$3:$H$252,MATCH(SMALL('Enter Draw'!$K$3:$K$252,D10),'Enter Draw'!$K$3:$K$252,0),4),"")</f>
        <v xml:space="preserve">Bootscootinboogie </v>
      </c>
      <c r="I10">
        <v>9</v>
      </c>
      <c r="J10" s="1">
        <f t="shared" si="0"/>
        <v>9</v>
      </c>
      <c r="K10" t="str">
        <f>IFERROR(INDEX('Enter Draw'!$F$3:$H$252,MATCH(SMALL('Enter Draw'!$L$3:$L$252,I10),'Enter Draw'!$L$3:$L$252,0),2),"")</f>
        <v xml:space="preserve">Keenan Lenzen </v>
      </c>
      <c r="L10" t="str">
        <f>IFERROR(INDEX('Enter Draw'!$F$3:$H$252,MATCH(SMALL('Enter Draw'!$L$3:$L$252,I10),'Enter Draw'!$L$3:$L$252,0),3),"")</f>
        <v>Kitty Dun It</v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Jamie Zuidema </v>
      </c>
      <c r="C11" t="str">
        <f>IFERROR(INDEX('Enter Draw'!$C$3:$H$252,MATCH(SMALL('Enter Draw'!$J$3:$J$252,D11),'Enter Draw'!$J$3:$J$252,0),6),"")</f>
        <v xml:space="preserve">Lucy 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 xml:space="preserve">Alix VanderVoort </v>
      </c>
      <c r="H11" t="str">
        <f>IFERROR(INDEX('Enter Draw'!$E$3:$H$252,MATCH(SMALL('Enter Draw'!$K$3:$K$252,D11),'Enter Draw'!$K$3:$K$252,0),4),"")</f>
        <v xml:space="preserve">I Dance for Perks </v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Margaret Miller </v>
      </c>
      <c r="C12" t="str">
        <f>IFERROR(INDEX('Enter Draw'!$C$3:$H$252,MATCH(SMALL('Enter Draw'!$J$3:$J$252,D12),'Enter Draw'!$J$3:$J$252,0),6),"")</f>
        <v xml:space="preserve">Seven 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 xml:space="preserve">Morgan Ober </v>
      </c>
      <c r="H12" t="str">
        <f>IFERROR(INDEX('Enter Draw'!$E$3:$H$252,MATCH(SMALL('Enter Draw'!$K$3:$K$252,D12),'Enter Draw'!$K$3:$K$252,0),4),"")</f>
        <v xml:space="preserve">Bubba 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Ashley Carlson </v>
      </c>
      <c r="C14" t="str">
        <f>IFERROR(INDEX('Enter Draw'!$C$3:$H$252,MATCH(SMALL('Enter Draw'!$J$3:$J$252,D14),'Enter Draw'!$J$3:$J$252,0),6),"")</f>
        <v xml:space="preserve">Chaser 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Drew Ellefson</v>
      </c>
      <c r="H14" t="str">
        <f>IFERROR(INDEX('Enter Draw'!$E$3:$H$252,MATCH(SMALL('Enter Draw'!$K$3:$K$252,D14),'Enter Draw'!$K$3:$K$252,0),4),"")</f>
        <v>Frosty</v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Sandy Highland </v>
      </c>
      <c r="C15" t="str">
        <f>IFERROR(INDEX('Enter Draw'!$C$3:$H$252,MATCH(SMALL('Enter Draw'!$J$3:$J$252,D15),'Enter Draw'!$J$3:$J$252,0),6),"")</f>
        <v xml:space="preserve">Bonita 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 xml:space="preserve">Jozlyn Anderson   </v>
      </c>
      <c r="H15" t="str">
        <f>IFERROR(INDEX('Enter Draw'!$E$3:$H$252,MATCH(SMALL('Enter Draw'!$K$3:$K$252,D15),'Enter Draw'!$K$3:$K$252,0),4),"")</f>
        <v xml:space="preserve">Jack the Money </v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Jessica Mueller </v>
      </c>
      <c r="C16" t="str">
        <f>IFERROR(INDEX('Enter Draw'!$C$3:$H$252,MATCH(SMALL('Enter Draw'!$J$3:$J$252,D16),'Enter Draw'!$J$3:$J$252,0),6),"")</f>
        <v xml:space="preserve">MFR Laughing Xena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Katie Novak</v>
      </c>
      <c r="C17" t="str">
        <f>IFERROR(INDEX('Enter Draw'!$C$3:$H$252,MATCH(SMALL('Enter Draw'!$J$3:$J$252,D17),'Enter Draw'!$J$3:$J$252,0),6),"")</f>
        <v>Lynx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Pam Vankektrix </v>
      </c>
      <c r="C18" t="str">
        <f>IFERROR(INDEX('Enter Draw'!$C$3:$H$252,MATCH(SMALL('Enter Draw'!$J$3:$J$252,D18),'Enter Draw'!$J$3:$J$252,0),6),"")</f>
        <v xml:space="preserve">JPS KAS IM Stylish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Jozlyn Anderson   </v>
      </c>
      <c r="C20" t="str">
        <f>IFERROR(INDEX('Enter Draw'!$C$3:$H$252,MATCH(SMALL('Enter Draw'!$J$3:$J$252,D20),'Enter Draw'!$J$3:$J$252,0),6),"")</f>
        <v xml:space="preserve">Jack the Money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Keenan Lenzen </v>
      </c>
      <c r="C21" t="str">
        <f>IFERROR(INDEX('Enter Draw'!$C$3:$H$252,MATCH(SMALL('Enter Draw'!$J$3:$J$252,D21),'Enter Draw'!$J$3:$J$252,0),6),"")</f>
        <v xml:space="preserve">Reno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Josey Booth </v>
      </c>
      <c r="C22" t="str">
        <f>IFERROR(INDEX('Enter Draw'!$C$3:$H$252,MATCH(SMALL('Enter Draw'!$J$3:$J$252,D22),'Enter Draw'!$J$3:$J$252,0),6),"")</f>
        <v xml:space="preserve">Sweet Red Bobby Sox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Kayla Papendick </v>
      </c>
      <c r="C23" t="str">
        <f>IFERROR(INDEX('Enter Draw'!$C$3:$H$252,MATCH(SMALL('Enter Draw'!$J$3:$J$252,D23),'Enter Draw'!$J$3:$J$252,0),6),"")</f>
        <v xml:space="preserve">Buddy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Ronna Pinney </v>
      </c>
      <c r="C24" t="str">
        <f>IFERROR(INDEX('Enter Draw'!$C$3:$H$252,MATCH(SMALL('Enter Draw'!$J$3:$J$252,D24),'Enter Draw'!$J$3:$J$252,0),6),"")</f>
        <v xml:space="preserve">SP Streaknfreaknfast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Livya Braskamp </v>
      </c>
      <c r="C26" t="str">
        <f>IFERROR(INDEX('Enter Draw'!$C$3:$H$252,MATCH(SMALL('Enter Draw'!$J$3:$J$252,D26),'Enter Draw'!$J$3:$J$252,0),6),"")</f>
        <v xml:space="preserve">Firefly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Becca Cowan </v>
      </c>
      <c r="C27" t="str">
        <f>IFERROR(INDEX('Enter Draw'!$C$3:$H$252,MATCH(SMALL('Enter Draw'!$J$3:$J$252,D27),'Enter Draw'!$J$3:$J$252,0),6),"")</f>
        <v xml:space="preserve">Fire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Kara Martin </v>
      </c>
      <c r="C28" t="str">
        <f>IFERROR(INDEX('Enter Draw'!$C$3:$H$252,MATCH(SMALL('Enter Draw'!$J$3:$J$252,D28),'Enter Draw'!$J$3:$J$252,0),6),"")</f>
        <v xml:space="preserve">TQH Smart Ransome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Maggie Noonan </v>
      </c>
      <c r="C29" t="str">
        <f>IFERROR(INDEX('Enter Draw'!$C$3:$H$252,MATCH(SMALL('Enter Draw'!$J$3:$J$252,D29),'Enter Draw'!$J$3:$J$252,0),6),"")</f>
        <v xml:space="preserve">Chief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Laura Roelfs </v>
      </c>
      <c r="C30" t="str">
        <f>IFERROR(INDEX('Enter Draw'!$C$3:$H$252,MATCH(SMALL('Enter Draw'!$J$3:$J$252,D30),'Enter Draw'!$J$3:$J$252,0),6),"")</f>
        <v xml:space="preserve">CheckCashinConway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Casey VandenBosch </v>
      </c>
      <c r="C32" t="str">
        <f>IFERROR(INDEX('Enter Draw'!$C$3:$H$252,MATCH(SMALL('Enter Draw'!$J$3:$J$252,D32),'Enter Draw'!$J$3:$J$252,0),6),"")</f>
        <v>Coronas Goldmine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Katilynn Jorgensen </v>
      </c>
      <c r="C33" t="str">
        <f>IFERROR(INDEX('Enter Draw'!$C$3:$H$252,MATCH(SMALL('Enter Draw'!$J$3:$J$252,D33),'Enter Draw'!$J$3:$J$252,0),6),"")</f>
        <v xml:space="preserve">I Wood Frost Em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Morgan Ober </v>
      </c>
      <c r="C34" t="str">
        <f>IFERROR(INDEX('Enter Draw'!$C$3:$H$252,MATCH(SMALL('Enter Draw'!$J$3:$J$252,D34),'Enter Draw'!$J$3:$J$252,0),6),"")</f>
        <v xml:space="preserve">Bubba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Kamryn Chapman </v>
      </c>
      <c r="C35" t="str">
        <f>IFERROR(INDEX('Enter Draw'!$C$3:$H$252,MATCH(SMALL('Enter Draw'!$J$3:$J$252,D35),'Enter Draw'!$J$3:$J$252,0),6),"")</f>
        <v xml:space="preserve">BW so bada lover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Faren Bebeau </v>
      </c>
      <c r="C36" t="str">
        <f>IFERROR(INDEX('Enter Draw'!$C$3:$H$252,MATCH(SMALL('Enter Draw'!$J$3:$J$252,D36),'Enter Draw'!$J$3:$J$252,0),6),"")</f>
        <v xml:space="preserve">Salina's Sudden Fame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Arabella Cook </v>
      </c>
      <c r="C38" t="str">
        <f>IFERROR(INDEX('Enter Draw'!$C$3:$H$252,MATCH(SMALL('Enter Draw'!$J$3:$J$252,D38),'Enter Draw'!$J$3:$J$252,0),6),"")</f>
        <v xml:space="preserve">Dashtaberoyal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Kristine DeBerg </v>
      </c>
      <c r="C39" t="str">
        <f>IFERROR(INDEX('Enter Draw'!$C$3:$H$252,MATCH(SMALL('Enter Draw'!$J$3:$J$252,D39),'Enter Draw'!$J$3:$J$252,0),6),"")</f>
        <v>Streakinblondelegacy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Sara Jo Lamb </v>
      </c>
      <c r="C40" t="str">
        <f>IFERROR(INDEX('Enter Draw'!$C$3:$H$252,MATCH(SMALL('Enter Draw'!$J$3:$J$252,D40),'Enter Draw'!$J$3:$J$252,0),6),"")</f>
        <v xml:space="preserve">Vegas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Alix VanderVoort </v>
      </c>
      <c r="C41" t="str">
        <f>IFERROR(INDEX('Enter Draw'!$C$3:$H$252,MATCH(SMALL('Enter Draw'!$J$3:$J$252,D41),'Enter Draw'!$J$3:$J$252,0),6),"")</f>
        <v xml:space="preserve">RC Whiskey N Roses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Maggie Noonan </v>
      </c>
      <c r="C42" t="str">
        <f>IFERROR(INDEX('Enter Draw'!$C$3:$H$252,MATCH(SMALL('Enter Draw'!$J$3:$J$252,D42),'Enter Draw'!$J$3:$J$252,0),6),"")</f>
        <v xml:space="preserve">Archie 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Laynie Schuler</v>
      </c>
      <c r="C44" t="str">
        <f>IFERROR(INDEX('Enter Draw'!$C$3:$H$252,MATCH(SMALL('Enter Draw'!$J$3:$J$252,D44),'Enter Draw'!$J$3:$J$252,0),6),"")</f>
        <v>Stolis Prissy Genes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Katie Novak</v>
      </c>
      <c r="C45" t="str">
        <f>IFERROR(INDEX('Enter Draw'!$C$3:$H$252,MATCH(SMALL('Enter Draw'!$J$3:$J$252,D45),'Enter Draw'!$J$3:$J$252,0),6),"")</f>
        <v>Keeper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Stella Schuler </v>
      </c>
      <c r="C46" t="str">
        <f>IFERROR(INDEX('Enter Draw'!$C$3:$H$252,MATCH(SMALL('Enter Draw'!$J$3:$J$252,D46),'Enter Draw'!$J$3:$J$252,0),6),"")</f>
        <v>RCK Guys Mabelline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Keenan Lenzen </v>
      </c>
      <c r="C47" t="str">
        <f>IFERROR(INDEX('Enter Draw'!$C$3:$H$252,MATCH(SMALL('Enter Draw'!$J$3:$J$252,D47),'Enter Draw'!$J$3:$J$252,0),6),"")</f>
        <v>Dasher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Taya Skiles</v>
      </c>
      <c r="C48" t="str">
        <f>IFERROR(INDEX('Enter Draw'!$C$3:$H$252,MATCH(SMALL('Enter Draw'!$J$3:$J$252,D48),'Enter Draw'!$J$3:$J$252,0),6),"")</f>
        <v>Bart's Dixie Pride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Blair Ellefson</v>
      </c>
      <c r="C50" t="str">
        <f>IFERROR(INDEX('Enter Draw'!$C$3:$H$252,MATCH(SMALL('Enter Draw'!$J$3:$J$252,D50),'Enter Draw'!$J$3:$J$252,0),6),"")</f>
        <v>Maple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Kaitlynn Jorgensen</v>
      </c>
      <c r="C51" t="str">
        <f>IFERROR(INDEX('Enter Draw'!$C$3:$H$252,MATCH(SMALL('Enter Draw'!$J$3:$J$252,D51),'Enter Draw'!$J$3:$J$252,0),6),"")</f>
        <v>Kitty Dun It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Reagan Sperry</v>
      </c>
      <c r="C52" t="str">
        <f>IFERROR(INDEX('Enter Draw'!$C$3:$H$252,MATCH(SMALL('Enter Draw'!$J$3:$J$252,D52),'Enter Draw'!$J$3:$J$252,0),6),"")</f>
        <v>CD Jettin French Money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Laynie Schuler</v>
      </c>
      <c r="C53" t="str">
        <f>IFERROR(INDEX('Enter Draw'!$C$3:$H$252,MATCH(SMALL('Enter Draw'!$J$3:$J$252,D53),'Enter Draw'!$J$3:$J$252,0),6),"")</f>
        <v>Flit N Ice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Opal Harkins</v>
      </c>
      <c r="C54" t="str">
        <f>IFERROR(INDEX('Enter Draw'!$C$3:$H$252,MATCH(SMALL('Enter Draw'!$J$3:$J$252,D54),'Enter Draw'!$J$3:$J$252,0),6),"")</f>
        <v>Sully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>Sydney Fuerst</v>
      </c>
      <c r="C56" t="str">
        <f>IFERROR(INDEX('Enter Draw'!$C$3:$H$252,MATCH(SMALL('Enter Draw'!$J$3:$J$252,D56),'Enter Draw'!$J$3:$J$252,0),6),"")</f>
        <v>Bay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B6" sqref="B6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 t="s">
        <v>86</v>
      </c>
      <c r="C2" s="19"/>
      <c r="D2" s="51"/>
      <c r="E2" s="92">
        <v>1E-14</v>
      </c>
      <c r="F2" s="93" t="str">
        <f>IF((D2+E2)&gt;5,D2+E2,"")</f>
        <v/>
      </c>
    </row>
    <row r="3" spans="1:6">
      <c r="A3" s="18"/>
      <c r="B3" s="19"/>
      <c r="C3" s="19"/>
      <c r="D3" s="52"/>
      <c r="E3" s="92">
        <v>2E-14</v>
      </c>
      <c r="F3" s="93" t="str">
        <f t="shared" ref="F3:F42" si="0">IF((D3+E3)&gt;5,D3+E3,"")</f>
        <v/>
      </c>
    </row>
    <row r="4" spans="1:6">
      <c r="A4" s="18"/>
      <c r="B4" s="19" t="s">
        <v>165</v>
      </c>
      <c r="C4" s="19"/>
      <c r="D4" s="53"/>
      <c r="E4" s="92">
        <v>2.9999999999999998E-14</v>
      </c>
      <c r="F4" s="93" t="str">
        <f t="shared" si="0"/>
        <v/>
      </c>
    </row>
    <row r="5" spans="1:6">
      <c r="A5" s="18"/>
      <c r="B5" s="19" t="s">
        <v>166</v>
      </c>
      <c r="C5" s="19"/>
      <c r="D5" s="54"/>
      <c r="E5" s="92">
        <v>4E-14</v>
      </c>
      <c r="F5" s="93" t="str">
        <f t="shared" si="0"/>
        <v/>
      </c>
    </row>
    <row r="6" spans="1:6">
      <c r="A6" s="18"/>
      <c r="B6" s="19" t="s">
        <v>167</v>
      </c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workbookViewId="0">
      <pane ySplit="1" topLeftCell="A10" activePane="bottomLeft" state="frozen"/>
      <selection pane="bottomLeft" activeCell="K11" sqref="K11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2</v>
      </c>
      <c r="B2" s="84" t="str">
        <f>IFERROR(IF(INDEX('Open 1'!$A:$F,MATCH('Open 1 Results'!$E2,'Open 1'!$F:$F,0),2)&gt;0,INDEX('Open 1'!$A:$F,MATCH('Open 1 Results'!$E2,'Open 1'!$F:$F,0),2),""),"")</f>
        <v xml:space="preserve">Arabella Cook </v>
      </c>
      <c r="C2" s="84" t="str">
        <f>IFERROR(IF(INDEX('Open 1'!$A:$F,MATCH('Open 1 Results'!$E2,'Open 1'!$F:$F,0),3)&gt;0,INDEX('Open 1'!$A:$F,MATCH('Open 1 Results'!$E2,'Open 1'!$F:$F,0),3),""),"")</f>
        <v xml:space="preserve">Charge it to Serrina </v>
      </c>
      <c r="D2" s="85">
        <f>IFERROR(IF(AND(SMALL('Open 1'!F:F,L2)&gt;1000,SMALL('Open 1'!F:F,L2)&lt;3000),"nt",IF(SMALL('Open 1'!F:F,L2)&gt;3000,"",SMALL('Open 1'!F:F,L2))),"")</f>
        <v>14.372000002</v>
      </c>
      <c r="E2" s="115">
        <f>IF(D2="nt",IFERROR(SMALL('Open 1'!F:F,L2),""),IF(D2&gt;3000,"",IFERROR(SMALL('Open 1'!F:F,L2),"")))</f>
        <v>14.372000002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34</v>
      </c>
      <c r="B3" s="84" t="str">
        <f>IFERROR(IF(INDEX('Open 1'!$A:$F,MATCH('Open 1 Results'!$E3,'Open 1'!$F:$F,0),2)&gt;0,INDEX('Open 1'!$A:$F,MATCH('Open 1 Results'!$E3,'Open 1'!$F:$F,0),2),""),"")</f>
        <v xml:space="preserve">Alix VanderVoort </v>
      </c>
      <c r="C3" s="84" t="str">
        <f>IFERROR(IF(INDEX('Open 1'!$A:$F,MATCH('Open 1 Results'!$E3,'Open 1'!$F:$F,0),3)&gt;0,INDEX('Open 1'!$A:$F,MATCH('Open 1 Results'!$E3,'Open 1'!$F:$F,0),3),""),"")</f>
        <v xml:space="preserve">RC Whiskey N Roses </v>
      </c>
      <c r="D3" s="85">
        <f>IFERROR(IF(AND(SMALL('Open 1'!F:F,L3)&gt;1000,SMALL('Open 1'!F:F,L3)&lt;3000),"nt",IF(SMALL('Open 1'!F:F,L3)&gt;3000,"",SMALL('Open 1'!F:F,L3))),"")</f>
        <v>14.48000004</v>
      </c>
      <c r="E3" s="115">
        <f>IF(D3="nt",IFERROR(SMALL('Open 1'!F:F,L3),""),IF(D3&gt;3000,"",IFERROR(SMALL('Open 1'!F:F,L3),"")))</f>
        <v>14.48000004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14.372000002</v>
      </c>
      <c r="I3" s="24" t="s">
        <v>3</v>
      </c>
      <c r="J3" s="121"/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4</v>
      </c>
      <c r="B4" s="84" t="str">
        <f>IFERROR(IF(INDEX('Open 1'!$A:$F,MATCH('Open 1 Results'!$E4,'Open 1'!$F:$F,0),2)&gt;0,INDEX('Open 1'!$A:$F,MATCH('Open 1 Results'!$E4,'Open 1'!$F:$F,0),2),""),"")</f>
        <v xml:space="preserve">Sara Jo Lamb </v>
      </c>
      <c r="C4" s="84" t="str">
        <f>IFERROR(IF(INDEX('Open 1'!$A:$F,MATCH('Open 1 Results'!$E4,'Open 1'!$F:$F,0),3)&gt;0,INDEX('Open 1'!$A:$F,MATCH('Open 1 Results'!$E4,'Open 1'!$F:$F,0),3),""),"")</f>
        <v xml:space="preserve">Chance </v>
      </c>
      <c r="D4" s="85">
        <f>IFERROR(IF(AND(SMALL('Open 1'!F:F,L4)&gt;1000,SMALL('Open 1'!F:F,L4)&lt;3000),"nt",IF(SMALL('Open 1'!F:F,L4)&gt;3000,"",SMALL('Open 1'!F:F,L4))),"")</f>
        <v>14.528000004000001</v>
      </c>
      <c r="E4" s="115">
        <f>IF(D4="nt",IFERROR(SMALL('Open 1'!F:F,L4),""),IF(D4&gt;3000,"",IFERROR(SMALL('Open 1'!F:F,L4),"")))</f>
        <v>14.528000004000001</v>
      </c>
      <c r="F4" s="86" t="str">
        <f t="shared" si="0"/>
        <v>1D</v>
      </c>
      <c r="G4" s="91" t="str">
        <f t="shared" si="1"/>
        <v/>
      </c>
      <c r="H4" s="62">
        <f>'Open 1'!P10</f>
        <v>14.938000001000001</v>
      </c>
      <c r="I4" s="87" t="s">
        <v>4</v>
      </c>
      <c r="J4" s="163">
        <v>5</v>
      </c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36</v>
      </c>
      <c r="B5" s="84" t="str">
        <f>IFERROR(IF(INDEX('Open 1'!$A:$F,MATCH('Open 1 Results'!$E5,'Open 1'!$F:$F,0),2)&gt;0,INDEX('Open 1'!$A:$F,MATCH('Open 1 Results'!$E5,'Open 1'!$F:$F,0),2),""),"")</f>
        <v>Laynie Schuler</v>
      </c>
      <c r="C5" s="84" t="str">
        <f>IFERROR(IF(INDEX('Open 1'!$A:$F,MATCH('Open 1 Results'!$E5,'Open 1'!$F:$F,0),3)&gt;0,INDEX('Open 1'!$A:$F,MATCH('Open 1 Results'!$E5,'Open 1'!$F:$F,0),3),""),"")</f>
        <v>Stolis Prissy Genes</v>
      </c>
      <c r="D5" s="85">
        <f>IFERROR(IF(AND(SMALL('Open 1'!F:F,L5)&gt;1000,SMALL('Open 1'!F:F,L5)&lt;3000),"nt",IF(SMALL('Open 1'!F:F,L5)&gt;3000,"",SMALL('Open 1'!F:F,L5))),"")</f>
        <v>14.674000042999999</v>
      </c>
      <c r="E5" s="115">
        <f>IF(D5="nt",IFERROR(SMALL('Open 1'!F:F,L5),""),IF(D5&gt;3000,"",IFERROR(SMALL('Open 1'!F:F,L5),"")))</f>
        <v>14.674000042999999</v>
      </c>
      <c r="F5" s="86" t="str">
        <f t="shared" si="0"/>
        <v>1D</v>
      </c>
      <c r="G5" s="91" t="str">
        <f t="shared" si="1"/>
        <v/>
      </c>
      <c r="H5" s="62">
        <f>'Open 1'!P16</f>
        <v>15.379000003</v>
      </c>
      <c r="I5" s="87" t="s">
        <v>5</v>
      </c>
      <c r="J5" s="163"/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38</v>
      </c>
      <c r="B6" s="84" t="str">
        <f>IFERROR(IF(INDEX('Open 1'!$A:$F,MATCH('Open 1 Results'!$E6,'Open 1'!$F:$F,0),2)&gt;0,INDEX('Open 1'!$A:$F,MATCH('Open 1 Results'!$E6,'Open 1'!$F:$F,0),2),""),"")</f>
        <v xml:space="preserve">Stella Schuler </v>
      </c>
      <c r="C6" s="84" t="str">
        <f>IFERROR(IF(INDEX('Open 1'!$A:$F,MATCH('Open 1 Results'!$E6,'Open 1'!$F:$F,0),3)&gt;0,INDEX('Open 1'!$A:$F,MATCH('Open 1 Results'!$E6,'Open 1'!$F:$F,0),3),""),"")</f>
        <v>RCK Guys Mabelline</v>
      </c>
      <c r="D6" s="85">
        <f>IFERROR(IF(AND(SMALL('Open 1'!F:F,L6)&gt;1000,SMALL('Open 1'!F:F,L6)&lt;3000),"nt",IF(SMALL('Open 1'!F:F,L6)&gt;3000,"",SMALL('Open 1'!F:F,L6))),"")</f>
        <v>14.728000045</v>
      </c>
      <c r="E6" s="115">
        <f>IF(D6="nt",IFERROR(SMALL('Open 1'!F:F,L6),""),IF(D6&gt;3000,"",IFERROR(SMALL('Open 1'!F:F,L6),"")))</f>
        <v>14.728000045</v>
      </c>
      <c r="F6" s="86" t="str">
        <f t="shared" si="0"/>
        <v>1D</v>
      </c>
      <c r="G6" s="91" t="str">
        <f t="shared" si="1"/>
        <v/>
      </c>
      <c r="H6" s="62">
        <f>'Open 1'!P22</f>
        <v>16.444000051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7</v>
      </c>
      <c r="B7" s="84" t="str">
        <f>IFERROR(IF(INDEX('Open 1'!$A:$F,MATCH('Open 1 Results'!$E7,'Open 1'!$F:$F,0),2)&gt;0,INDEX('Open 1'!$A:$F,MATCH('Open 1 Results'!$E7,'Open 1'!$F:$F,0),2),""),"")</f>
        <v xml:space="preserve">Faren Bebeau </v>
      </c>
      <c r="C7" s="84" t="str">
        <f>IFERROR(IF(INDEX('Open 1'!$A:$F,MATCH('Open 1 Results'!$E7,'Open 1'!$F:$F,0),3)&gt;0,INDEX('Open 1'!$A:$F,MATCH('Open 1 Results'!$E7,'Open 1'!$F:$F,0),3),""),"")</f>
        <v xml:space="preserve">Flashing Silk </v>
      </c>
      <c r="D7" s="85">
        <f>IFERROR(IF(AND(SMALL('Open 1'!F:F,L7)&gt;1000,SMALL('Open 1'!F:F,L7)&lt;3000),"nt",IF(SMALL('Open 1'!F:F,L7)&gt;3000,"",SMALL('Open 1'!F:F,L7))),"")</f>
        <v>14.837000008</v>
      </c>
      <c r="E7" s="115">
        <f>IF(D7="nt",IFERROR(SMALL('Open 1'!F:F,L7),""),IF(D7&gt;3000,"",IFERROR(SMALL('Open 1'!F:F,L7),"")))</f>
        <v>14.837000008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1</v>
      </c>
      <c r="B8" s="84" t="str">
        <f>IFERROR(IF(INDEX('Open 1'!$A:$F,MATCH('Open 1 Results'!$E8,'Open 1'!$F:$F,0),2)&gt;0,INDEX('Open 1'!$A:$F,MATCH('Open 1 Results'!$E8,'Open 1'!$F:$F,0),2),""),"")</f>
        <v xml:space="preserve">Kamryn Chapman </v>
      </c>
      <c r="C8" s="84" t="str">
        <f>IFERROR(IF(INDEX('Open 1'!$A:$F,MATCH('Open 1 Results'!$E8,'Open 1'!$F:$F,0),3)&gt;0,INDEX('Open 1'!$A:$F,MATCH('Open 1 Results'!$E8,'Open 1'!$F:$F,0),3),""),"")</f>
        <v xml:space="preserve">Firewater Marvel Ice </v>
      </c>
      <c r="D8" s="85">
        <f>IFERROR(IF(AND(SMALL('Open 1'!F:F,L8)&gt;1000,SMALL('Open 1'!F:F,L8)&lt;3000),"nt",IF(SMALL('Open 1'!F:F,L8)&gt;3000,"",SMALL('Open 1'!F:F,L8))),"")</f>
        <v>14.938000001000001</v>
      </c>
      <c r="E8" s="115">
        <f>IF(D8="nt",IFERROR(SMALL('Open 1'!F:F,L8),""),IF(D8&gt;3000,"",IFERROR(SMALL('Open 1'!F:F,L8),"")))</f>
        <v>14.938000001000001</v>
      </c>
      <c r="F8" s="86" t="str">
        <f t="shared" si="0"/>
        <v>2D</v>
      </c>
      <c r="G8" s="91" t="str">
        <f t="shared" si="1"/>
        <v>2D</v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8</v>
      </c>
      <c r="B9" s="84" t="str">
        <f>IFERROR(IF(INDEX('Open 1'!$A:$F,MATCH('Open 1 Results'!$E9,'Open 1'!$F:$F,0),2)&gt;0,INDEX('Open 1'!$A:$F,MATCH('Open 1 Results'!$E9,'Open 1'!$F:$F,0),2),""),"")</f>
        <v xml:space="preserve">Carrie Dieters </v>
      </c>
      <c r="C9" s="84" t="str">
        <f>IFERROR(IF(INDEX('Open 1'!$A:$F,MATCH('Open 1 Results'!$E9,'Open 1'!$F:$F,0),3)&gt;0,INDEX('Open 1'!$A:$F,MATCH('Open 1 Results'!$E9,'Open 1'!$F:$F,0),3),""),"")</f>
        <v xml:space="preserve">Jackie's French Ice </v>
      </c>
      <c r="D9" s="85">
        <f>IFERROR(IF(AND(SMALL('Open 1'!F:F,L9)&gt;1000,SMALL('Open 1'!F:F,L9)&lt;3000),"nt",IF(SMALL('Open 1'!F:F,L9)&gt;3000,"",SMALL('Open 1'!F:F,L9))),"")</f>
        <v>14.991000009</v>
      </c>
      <c r="E9" s="115">
        <f>IF(D9="nt",IFERROR(SMALL('Open 1'!F:F,L9),""),IF(D9&gt;3000,"",IFERROR(SMALL('Open 1'!F:F,L9),"")))</f>
        <v>14.991000009</v>
      </c>
      <c r="F9" s="86" t="str">
        <f t="shared" si="0"/>
        <v>2D</v>
      </c>
      <c r="G9" s="91" t="str">
        <f t="shared" si="1"/>
        <v/>
      </c>
      <c r="J9" s="162">
        <v>5</v>
      </c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46</v>
      </c>
      <c r="B10" s="84" t="str">
        <f>IFERROR(IF(INDEX('Open 1'!$A:$F,MATCH('Open 1 Results'!$E10,'Open 1'!$F:$F,0),2)&gt;0,INDEX('Open 1'!$A:$F,MATCH('Open 1 Results'!$E10,'Open 1'!$F:$F,0),2),""),"")</f>
        <v>Sydney Fuerst</v>
      </c>
      <c r="C10" s="84" t="str">
        <f>IFERROR(IF(INDEX('Open 1'!$A:$F,MATCH('Open 1 Results'!$E10,'Open 1'!$F:$F,0),3)&gt;0,INDEX('Open 1'!$A:$F,MATCH('Open 1 Results'!$E10,'Open 1'!$F:$F,0),3),""),"")</f>
        <v>Bay</v>
      </c>
      <c r="D10" s="85">
        <f>IFERROR(IF(AND(SMALL('Open 1'!F:F,L10)&gt;1000,SMALL('Open 1'!F:F,L10)&lt;3000),"nt",IF(SMALL('Open 1'!F:F,L10)&gt;3000,"",SMALL('Open 1'!F:F,L10))),"")</f>
        <v>15.051000054999999</v>
      </c>
      <c r="E10" s="115">
        <f>IF(D10="nt",IFERROR(SMALL('Open 1'!F:F,L10),""),IF(D10&gt;3000,"",IFERROR(SMALL('Open 1'!F:F,L10),"")))</f>
        <v>15.051000054999999</v>
      </c>
      <c r="F10" s="86" t="str">
        <f t="shared" si="0"/>
        <v>2D</v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19</v>
      </c>
      <c r="B11" s="84" t="str">
        <f>IFERROR(IF(INDEX('Open 1'!$A:$F,MATCH('Open 1 Results'!$E11,'Open 1'!$F:$F,0),2)&gt;0,INDEX('Open 1'!$A:$F,MATCH('Open 1 Results'!$E11,'Open 1'!$F:$F,0),2),""),"")</f>
        <v xml:space="preserve">Kayla Papendick </v>
      </c>
      <c r="C11" s="84" t="str">
        <f>IFERROR(IF(INDEX('Open 1'!$A:$F,MATCH('Open 1 Results'!$E11,'Open 1'!$F:$F,0),3)&gt;0,INDEX('Open 1'!$A:$F,MATCH('Open 1 Results'!$E11,'Open 1'!$F:$F,0),3),""),"")</f>
        <v xml:space="preserve">Buddy </v>
      </c>
      <c r="D11" s="85">
        <f>IFERROR(IF(AND(SMALL('Open 1'!F:F,L11)&gt;1000,SMALL('Open 1'!F:F,L11)&lt;3000),"nt",IF(SMALL('Open 1'!F:F,L11)&gt;3000,"",SMALL('Open 1'!F:F,L11))),"")</f>
        <v>15.090000022</v>
      </c>
      <c r="E11" s="115">
        <f>IF(D11="nt",IFERROR(SMALL('Open 1'!F:F,L11),""),IF(D11&gt;3000,"",IFERROR(SMALL('Open 1'!F:F,L11),"")))</f>
        <v>15.090000022</v>
      </c>
      <c r="F11" s="86" t="str">
        <f t="shared" si="0"/>
        <v>2D</v>
      </c>
      <c r="G11" s="91" t="str">
        <f t="shared" si="1"/>
        <v/>
      </c>
      <c r="J11" s="162">
        <v>4</v>
      </c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44</v>
      </c>
      <c r="B12" s="84" t="str">
        <f>IFERROR(IF(INDEX('Open 1'!$A:$F,MATCH('Open 1 Results'!$E12,'Open 1'!$F:$F,0),2)&gt;0,INDEX('Open 1'!$A:$F,MATCH('Open 1 Results'!$E12,'Open 1'!$F:$F,0),2),""),"")</f>
        <v>Laynie Schuler</v>
      </c>
      <c r="C12" s="84" t="str">
        <f>IFERROR(IF(INDEX('Open 1'!$A:$F,MATCH('Open 1 Results'!$E12,'Open 1'!$F:$F,0),3)&gt;0,INDEX('Open 1'!$A:$F,MATCH('Open 1 Results'!$E12,'Open 1'!$F:$F,0),3),""),"")</f>
        <v>Flit N Ice</v>
      </c>
      <c r="D12" s="85">
        <f>IFERROR(IF(AND(SMALL('Open 1'!F:F,L12)&gt;1000,SMALL('Open 1'!F:F,L12)&lt;3000),"nt",IF(SMALL('Open 1'!F:F,L12)&gt;3000,"",SMALL('Open 1'!F:F,L12))),"")</f>
        <v>15.112000052000001</v>
      </c>
      <c r="E12" s="115">
        <f>IF(D12="nt",IFERROR(SMALL('Open 1'!F:F,L12),""),IF(D12&gt;3000,"",IFERROR(SMALL('Open 1'!F:F,L12),"")))</f>
        <v>15.112000052000001</v>
      </c>
      <c r="F12" s="86" t="str">
        <f t="shared" si="0"/>
        <v>2D</v>
      </c>
      <c r="G12" s="91" t="str">
        <f t="shared" si="1"/>
        <v/>
      </c>
      <c r="J12" s="162"/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23</v>
      </c>
      <c r="B13" s="84" t="str">
        <f>IFERROR(IF(INDEX('Open 1'!$A:$F,MATCH('Open 1 Results'!$E13,'Open 1'!$F:$F,0),2)&gt;0,INDEX('Open 1'!$A:$F,MATCH('Open 1 Results'!$E13,'Open 1'!$F:$F,0),2),""),"")</f>
        <v xml:space="preserve">Kara Martin </v>
      </c>
      <c r="C13" s="84" t="str">
        <f>IFERROR(IF(INDEX('Open 1'!$A:$F,MATCH('Open 1 Results'!$E13,'Open 1'!$F:$F,0),3)&gt;0,INDEX('Open 1'!$A:$F,MATCH('Open 1 Results'!$E13,'Open 1'!$F:$F,0),3),""),"")</f>
        <v xml:space="preserve">TQH Smart Ransome </v>
      </c>
      <c r="D13" s="85">
        <f>IFERROR(IF(AND(SMALL('Open 1'!F:F,L13)&gt;1000,SMALL('Open 1'!F:F,L13)&lt;3000),"nt",IF(SMALL('Open 1'!F:F,L13)&gt;3000,"",SMALL('Open 1'!F:F,L13))),"")</f>
        <v>15.122000027</v>
      </c>
      <c r="E13" s="115">
        <f>IF(D13="nt",IFERROR(SMALL('Open 1'!F:F,L13),""),IF(D13&gt;3000,"",IFERROR(SMALL('Open 1'!F:F,L13),"")))</f>
        <v>15.122000027</v>
      </c>
      <c r="F13" s="86" t="str">
        <f t="shared" si="0"/>
        <v>2D</v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32</v>
      </c>
      <c r="B14" s="84" t="str">
        <f>IFERROR(IF(INDEX('Open 1'!$A:$F,MATCH('Open 1 Results'!$E14,'Open 1'!$F:$F,0),2)&gt;0,INDEX('Open 1'!$A:$F,MATCH('Open 1 Results'!$E14,'Open 1'!$F:$F,0),2),""),"")</f>
        <v xml:space="preserve">Kristine DeBerg </v>
      </c>
      <c r="C14" s="84" t="str">
        <f>IFERROR(IF(INDEX('Open 1'!$A:$F,MATCH('Open 1 Results'!$E14,'Open 1'!$F:$F,0),3)&gt;0,INDEX('Open 1'!$A:$F,MATCH('Open 1 Results'!$E14,'Open 1'!$F:$F,0),3),""),"")</f>
        <v>Streakinblondelegacy</v>
      </c>
      <c r="D14" s="85">
        <f>IFERROR(IF(AND(SMALL('Open 1'!F:F,L14)&gt;1000,SMALL('Open 1'!F:F,L14)&lt;3000),"nt",IF(SMALL('Open 1'!F:F,L14)&gt;3000,"",SMALL('Open 1'!F:F,L14))),"")</f>
        <v>15.333000038</v>
      </c>
      <c r="E14" s="115">
        <f>IF(D14="nt",IFERROR(SMALL('Open 1'!F:F,L14),""),IF(D14&gt;3000,"",IFERROR(SMALL('Open 1'!F:F,L14),"")))</f>
        <v>15.333000038</v>
      </c>
      <c r="F14" s="86" t="str">
        <f t="shared" si="0"/>
        <v>2D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3</v>
      </c>
      <c r="B15" s="84" t="str">
        <f>IFERROR(IF(INDEX('Open 1'!$A:$F,MATCH('Open 1 Results'!$E15,'Open 1'!$F:$F,0),2)&gt;0,INDEX('Open 1'!$A:$F,MATCH('Open 1 Results'!$E15,'Open 1'!$F:$F,0),2),""),"")</f>
        <v xml:space="preserve">Kristine DeBerg </v>
      </c>
      <c r="C15" s="84" t="str">
        <f>IFERROR(IF(INDEX('Open 1'!$A:$F,MATCH('Open 1 Results'!$E15,'Open 1'!$F:$F,0),3)&gt;0,INDEX('Open 1'!$A:$F,MATCH('Open 1 Results'!$E15,'Open 1'!$F:$F,0),3),""),"")</f>
        <v xml:space="preserve">Jessfrostmycake </v>
      </c>
      <c r="D15" s="85">
        <f>IFERROR(IF(AND(SMALL('Open 1'!F:F,L15)&gt;1000,SMALL('Open 1'!F:F,L15)&lt;3000),"nt",IF(SMALL('Open 1'!F:F,L15)&gt;3000,"",SMALL('Open 1'!F:F,L15))),"")</f>
        <v>15.379000003</v>
      </c>
      <c r="E15" s="115">
        <f>IF(D15="nt",IFERROR(SMALL('Open 1'!F:F,L15),""),IF(D15&gt;3000,"",IFERROR(SMALL('Open 1'!F:F,L15),"")))</f>
        <v>15.379000003</v>
      </c>
      <c r="F15" s="86" t="str">
        <f t="shared" si="0"/>
        <v>3D</v>
      </c>
      <c r="G15" s="91" t="str">
        <f t="shared" si="1"/>
        <v>3D</v>
      </c>
      <c r="J15" s="162"/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13</v>
      </c>
      <c r="B16" s="84" t="str">
        <f>IFERROR(IF(INDEX('Open 1'!$A:$F,MATCH('Open 1 Results'!$E16,'Open 1'!$F:$F,0),2)&gt;0,INDEX('Open 1'!$A:$F,MATCH('Open 1 Results'!$E16,'Open 1'!$F:$F,0),2),""),"")</f>
        <v xml:space="preserve">Jessica Mueller </v>
      </c>
      <c r="C16" s="84" t="str">
        <f>IFERROR(IF(INDEX('Open 1'!$A:$F,MATCH('Open 1 Results'!$E16,'Open 1'!$F:$F,0),3)&gt;0,INDEX('Open 1'!$A:$F,MATCH('Open 1 Results'!$E16,'Open 1'!$F:$F,0),3),""),"")</f>
        <v xml:space="preserve">MFR Laughing Xena </v>
      </c>
      <c r="D16" s="85">
        <f>IFERROR(IF(AND(SMALL('Open 1'!F:F,L16)&gt;1000,SMALL('Open 1'!F:F,L16)&lt;3000),"nt",IF(SMALL('Open 1'!F:F,L16)&gt;3000,"",SMALL('Open 1'!F:F,L16))),"")</f>
        <v>15.454000015</v>
      </c>
      <c r="E16" s="115">
        <f>IF(D16="nt",IFERROR(SMALL('Open 1'!F:F,L16),""),IF(D16&gt;3000,"",IFERROR(SMALL('Open 1'!F:F,L16),"")))</f>
        <v>15.454000015</v>
      </c>
      <c r="F16" s="86" t="str">
        <f t="shared" si="0"/>
        <v>3D</v>
      </c>
      <c r="G16" s="91" t="str">
        <f t="shared" si="1"/>
        <v/>
      </c>
      <c r="J16" s="162">
        <v>5</v>
      </c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12</v>
      </c>
      <c r="B17" s="84" t="str">
        <f>IFERROR(IF(INDEX('Open 1'!$A:$F,MATCH('Open 1 Results'!$E17,'Open 1'!$F:$F,0),2)&gt;0,INDEX('Open 1'!$A:$F,MATCH('Open 1 Results'!$E17,'Open 1'!$F:$F,0),2),""),"")</f>
        <v xml:space="preserve">Sandy Highland </v>
      </c>
      <c r="C17" s="84" t="str">
        <f>IFERROR(IF(INDEX('Open 1'!$A:$F,MATCH('Open 1 Results'!$E17,'Open 1'!$F:$F,0),3)&gt;0,INDEX('Open 1'!$A:$F,MATCH('Open 1 Results'!$E17,'Open 1'!$F:$F,0),3),""),"")</f>
        <v xml:space="preserve">Bonita </v>
      </c>
      <c r="D17" s="85">
        <f>IFERROR(IF(AND(SMALL('Open 1'!F:F,L17)&gt;1000,SMALL('Open 1'!F:F,L17)&lt;3000),"nt",IF(SMALL('Open 1'!F:F,L17)&gt;3000,"",SMALL('Open 1'!F:F,L17))),"")</f>
        <v>15.610000013999999</v>
      </c>
      <c r="E17" s="115">
        <f>IF(D17="nt",IFERROR(SMALL('Open 1'!F:F,L17),""),IF(D17&gt;3000,"",IFERROR(SMALL('Open 1'!F:F,L17),"")))</f>
        <v>15.610000013999999</v>
      </c>
      <c r="F17" s="86" t="str">
        <f t="shared" si="0"/>
        <v>3D</v>
      </c>
      <c r="G17" s="91" t="str">
        <f t="shared" si="1"/>
        <v/>
      </c>
      <c r="J17" s="162">
        <v>4</v>
      </c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40</v>
      </c>
      <c r="B18" s="84" t="str">
        <f>IFERROR(IF(INDEX('Open 1'!$A:$F,MATCH('Open 1 Results'!$E18,'Open 1'!$F:$F,0),2)&gt;0,INDEX('Open 1'!$A:$F,MATCH('Open 1 Results'!$E18,'Open 1'!$F:$F,0),2),""),"")</f>
        <v>Taya Skiles</v>
      </c>
      <c r="C18" s="84" t="str">
        <f>IFERROR(IF(INDEX('Open 1'!$A:$F,MATCH('Open 1 Results'!$E18,'Open 1'!$F:$F,0),3)&gt;0,INDEX('Open 1'!$A:$F,MATCH('Open 1 Results'!$E18,'Open 1'!$F:$F,0),3),""),"")</f>
        <v>Bart's Dixie Pride</v>
      </c>
      <c r="D18" s="85">
        <f>IFERROR(IF(AND(SMALL('Open 1'!F:F,L18)&gt;1000,SMALL('Open 1'!F:F,L18)&lt;3000),"nt",IF(SMALL('Open 1'!F:F,L18)&gt;3000,"",SMALL('Open 1'!F:F,L18))),"")</f>
        <v>15.977000047000001</v>
      </c>
      <c r="E18" s="115">
        <f>IF(D18="nt",IFERROR(SMALL('Open 1'!F:F,L18),""),IF(D18&gt;3000,"",IFERROR(SMALL('Open 1'!F:F,L18),"")))</f>
        <v>15.977000047000001</v>
      </c>
      <c r="F18" s="86" t="str">
        <f t="shared" si="0"/>
        <v>3D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37</v>
      </c>
      <c r="B19" s="84" t="str">
        <f>IFERROR(IF(INDEX('Open 1'!$A:$F,MATCH('Open 1 Results'!$E19,'Open 1'!$F:$F,0),2)&gt;0,INDEX('Open 1'!$A:$F,MATCH('Open 1 Results'!$E19,'Open 1'!$F:$F,0),2),""),"")</f>
        <v>Katie Novak</v>
      </c>
      <c r="C19" s="84" t="str">
        <f>IFERROR(IF(INDEX('Open 1'!$A:$F,MATCH('Open 1 Results'!$E19,'Open 1'!$F:$F,0),3)&gt;0,INDEX('Open 1'!$A:$F,MATCH('Open 1 Results'!$E19,'Open 1'!$F:$F,0),3),""),"")</f>
        <v>Keeper</v>
      </c>
      <c r="D19" s="85">
        <f>IFERROR(IF(AND(SMALL('Open 1'!F:F,L19)&gt;1000,SMALL('Open 1'!F:F,L19)&lt;3000),"nt",IF(SMALL('Open 1'!F:F,L19)&gt;3000,"",SMALL('Open 1'!F:F,L19))),"")</f>
        <v>15.989000044000001</v>
      </c>
      <c r="E19" s="115">
        <f>IF(D19="nt",IFERROR(SMALL('Open 1'!F:F,L19),""),IF(D19&gt;3000,"",IFERROR(SMALL('Open 1'!F:F,L19),"")))</f>
        <v>15.989000044000001</v>
      </c>
      <c r="F19" s="86" t="str">
        <f t="shared" si="0"/>
        <v>3D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16</v>
      </c>
      <c r="B20" s="84" t="str">
        <f>IFERROR(IF(INDEX('Open 1'!$A:$F,MATCH('Open 1 Results'!$E20,'Open 1'!$F:$F,0),2)&gt;0,INDEX('Open 1'!$A:$F,MATCH('Open 1 Results'!$E20,'Open 1'!$F:$F,0),2),""),"")</f>
        <v xml:space="preserve">Jozlyn Anderson   </v>
      </c>
      <c r="C20" s="84" t="str">
        <f>IFERROR(IF(INDEX('Open 1'!$A:$F,MATCH('Open 1 Results'!$E20,'Open 1'!$F:$F,0),3)&gt;0,INDEX('Open 1'!$A:$F,MATCH('Open 1 Results'!$E20,'Open 1'!$F:$F,0),3),""),"")</f>
        <v xml:space="preserve">Jack the Money </v>
      </c>
      <c r="D20" s="85">
        <f>IFERROR(IF(AND(SMALL('Open 1'!F:F,L20)&gt;1000,SMALL('Open 1'!F:F,L20)&lt;3000),"nt",IF(SMALL('Open 1'!F:F,L20)&gt;3000,"",SMALL('Open 1'!F:F,L20))),"")</f>
        <v>16.247000019000001</v>
      </c>
      <c r="E20" s="115">
        <f>IF(D20="nt",IFERROR(SMALL('Open 1'!F:F,L20),""),IF(D20&gt;3000,"",IFERROR(SMALL('Open 1'!F:F,L20),"")))</f>
        <v>16.247000019000001</v>
      </c>
      <c r="F20" s="86" t="str">
        <f t="shared" si="0"/>
        <v>3D</v>
      </c>
      <c r="G20" s="91" t="str">
        <f t="shared" si="1"/>
        <v/>
      </c>
      <c r="J20" s="162">
        <v>3</v>
      </c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15</v>
      </c>
      <c r="B21" s="84" t="str">
        <f>IFERROR(IF(INDEX('Open 1'!$A:$F,MATCH('Open 1 Results'!$E21,'Open 1'!$F:$F,0),2)&gt;0,INDEX('Open 1'!$A:$F,MATCH('Open 1 Results'!$E21,'Open 1'!$F:$F,0),2),""),"")</f>
        <v xml:space="preserve">Pam Vankektrix </v>
      </c>
      <c r="C21" s="84" t="str">
        <f>IFERROR(IF(INDEX('Open 1'!$A:$F,MATCH('Open 1 Results'!$E21,'Open 1'!$F:$F,0),3)&gt;0,INDEX('Open 1'!$A:$F,MATCH('Open 1 Results'!$E21,'Open 1'!$F:$F,0),3),""),"")</f>
        <v xml:space="preserve">JPS KAS IM Stylish </v>
      </c>
      <c r="D21" s="85">
        <f>IFERROR(IF(AND(SMALL('Open 1'!F:F,L21)&gt;1000,SMALL('Open 1'!F:F,L21)&lt;3000),"nt",IF(SMALL('Open 1'!F:F,L21)&gt;3000,"",SMALL('Open 1'!F:F,L21))),"")</f>
        <v>16.334000017000001</v>
      </c>
      <c r="E21" s="115">
        <f>IF(D21="nt",IFERROR(SMALL('Open 1'!F:F,L21),""),IF(D21&gt;3000,"",IFERROR(SMALL('Open 1'!F:F,L21),"")))</f>
        <v>16.334000017000001</v>
      </c>
      <c r="F21" s="86" t="str">
        <f t="shared" si="0"/>
        <v>3D</v>
      </c>
      <c r="G21" s="91" t="str">
        <f t="shared" si="1"/>
        <v/>
      </c>
      <c r="J21" s="162">
        <v>2</v>
      </c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43</v>
      </c>
      <c r="B22" s="84" t="str">
        <f>IFERROR(IF(INDEX('Open 1'!$A:$F,MATCH('Open 1 Results'!$E22,'Open 1'!$F:$F,0),2)&gt;0,INDEX('Open 1'!$A:$F,MATCH('Open 1 Results'!$E22,'Open 1'!$F:$F,0),2),""),"")</f>
        <v>Reagan Sperry</v>
      </c>
      <c r="C22" s="84" t="str">
        <f>IFERROR(IF(INDEX('Open 1'!$A:$F,MATCH('Open 1 Results'!$E22,'Open 1'!$F:$F,0),3)&gt;0,INDEX('Open 1'!$A:$F,MATCH('Open 1 Results'!$E22,'Open 1'!$F:$F,0),3),""),"")</f>
        <v>CD Jettin French Money</v>
      </c>
      <c r="D22" s="85">
        <f>IFERROR(IF(AND(SMALL('Open 1'!F:F,L22)&gt;1000,SMALL('Open 1'!F:F,L22)&lt;3000),"nt",IF(SMALL('Open 1'!F:F,L22)&gt;3000,"",SMALL('Open 1'!F:F,L22))),"")</f>
        <v>16.444000051</v>
      </c>
      <c r="E22" s="115">
        <f>IF(D22="nt",IFERROR(SMALL('Open 1'!F:F,L22),""),IF(D22&gt;3000,"",IFERROR(SMALL('Open 1'!F:F,L22),"")))</f>
        <v>16.444000051</v>
      </c>
      <c r="F22" s="86" t="str">
        <f t="shared" si="0"/>
        <v>4D</v>
      </c>
      <c r="G22" s="91" t="str">
        <f t="shared" si="1"/>
        <v>4D</v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24</v>
      </c>
      <c r="B23" s="84" t="str">
        <f>IFERROR(IF(INDEX('Open 1'!$A:$F,MATCH('Open 1 Results'!$E23,'Open 1'!$F:$F,0),2)&gt;0,INDEX('Open 1'!$A:$F,MATCH('Open 1 Results'!$E23,'Open 1'!$F:$F,0),2),""),"")</f>
        <v xml:space="preserve">Maggie Noonan </v>
      </c>
      <c r="C23" s="84" t="str">
        <f>IFERROR(IF(INDEX('Open 1'!$A:$F,MATCH('Open 1 Results'!$E23,'Open 1'!$F:$F,0),3)&gt;0,INDEX('Open 1'!$A:$F,MATCH('Open 1 Results'!$E23,'Open 1'!$F:$F,0),3),""),"")</f>
        <v xml:space="preserve">Chief </v>
      </c>
      <c r="D23" s="85">
        <f>IFERROR(IF(AND(SMALL('Open 1'!F:F,L23)&gt;1000,SMALL('Open 1'!F:F,L23)&lt;3000),"nt",IF(SMALL('Open 1'!F:F,L23)&gt;3000,"",SMALL('Open 1'!F:F,L23))),"")</f>
        <v>16.605000027999999</v>
      </c>
      <c r="E23" s="115">
        <f>IF(D23="nt",IFERROR(SMALL('Open 1'!F:F,L23),""),IF(D23&gt;3000,"",IFERROR(SMALL('Open 1'!F:F,L23),"")))</f>
        <v>16.605000027999999</v>
      </c>
      <c r="F23" s="86" t="str">
        <f t="shared" si="0"/>
        <v>4D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30</v>
      </c>
      <c r="B24" s="84" t="str">
        <f>IFERROR(IF(INDEX('Open 1'!$A:$F,MATCH('Open 1 Results'!$E24,'Open 1'!$F:$F,0),2)&gt;0,INDEX('Open 1'!$A:$F,MATCH('Open 1 Results'!$E24,'Open 1'!$F:$F,0),2),""),"")</f>
        <v xml:space="preserve">Faren Bebeau </v>
      </c>
      <c r="C24" s="84" t="str">
        <f>IFERROR(IF(INDEX('Open 1'!$A:$F,MATCH('Open 1 Results'!$E24,'Open 1'!$F:$F,0),3)&gt;0,INDEX('Open 1'!$A:$F,MATCH('Open 1 Results'!$E24,'Open 1'!$F:$F,0),3),""),"")</f>
        <v xml:space="preserve">Salina's Sudden Fame </v>
      </c>
      <c r="D24" s="85">
        <f>IFERROR(IF(AND(SMALL('Open 1'!F:F,L24)&gt;1000,SMALL('Open 1'!F:F,L24)&lt;3000),"nt",IF(SMALL('Open 1'!F:F,L24)&gt;3000,"",SMALL('Open 1'!F:F,L24))),"")</f>
        <v>16.623000035</v>
      </c>
      <c r="E24" s="115">
        <f>IF(D24="nt",IFERROR(SMALL('Open 1'!F:F,L24),""),IF(D24&gt;3000,"",IFERROR(SMALL('Open 1'!F:F,L24),"")))</f>
        <v>16.623000035</v>
      </c>
      <c r="F24" s="86" t="str">
        <f t="shared" si="0"/>
        <v>4D</v>
      </c>
      <c r="G24" s="91" t="str">
        <f t="shared" si="1"/>
        <v/>
      </c>
      <c r="J24" s="162"/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39</v>
      </c>
      <c r="B25" s="84" t="str">
        <f>IFERROR(IF(INDEX('Open 1'!$A:$F,MATCH('Open 1 Results'!$E25,'Open 1'!$F:$F,0),2)&gt;0,INDEX('Open 1'!$A:$F,MATCH('Open 1 Results'!$E25,'Open 1'!$F:$F,0),2),""),"")</f>
        <v xml:space="preserve">Keenan Lenzen </v>
      </c>
      <c r="C25" s="84" t="str">
        <f>IFERROR(IF(INDEX('Open 1'!$A:$F,MATCH('Open 1 Results'!$E25,'Open 1'!$F:$F,0),3)&gt;0,INDEX('Open 1'!$A:$F,MATCH('Open 1 Results'!$E25,'Open 1'!$F:$F,0),3),""),"")</f>
        <v>Dasher</v>
      </c>
      <c r="D25" s="85">
        <f>IFERROR(IF(AND(SMALL('Open 1'!F:F,L25)&gt;1000,SMALL('Open 1'!F:F,L25)&lt;3000),"nt",IF(SMALL('Open 1'!F:F,L25)&gt;3000,"",SMALL('Open 1'!F:F,L25))),"")</f>
        <v>16.890000046000001</v>
      </c>
      <c r="E25" s="115">
        <f>IF(D25="nt",IFERROR(SMALL('Open 1'!F:F,L25),""),IF(D25&gt;3000,"",IFERROR(SMALL('Open 1'!F:F,L25),"")))</f>
        <v>16.890000046000001</v>
      </c>
      <c r="F25" s="86" t="str">
        <f t="shared" si="0"/>
        <v>4D</v>
      </c>
      <c r="G25" s="91" t="str">
        <f t="shared" si="1"/>
        <v/>
      </c>
      <c r="J25" s="162"/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28</v>
      </c>
      <c r="B26" s="84" t="str">
        <f>IFERROR(IF(INDEX('Open 1'!$A:$F,MATCH('Open 1 Results'!$E26,'Open 1'!$F:$F,0),2)&gt;0,INDEX('Open 1'!$A:$F,MATCH('Open 1 Results'!$E26,'Open 1'!$F:$F,0),2),""),"")</f>
        <v xml:space="preserve">Morgan Ober </v>
      </c>
      <c r="C26" s="84" t="str">
        <f>IFERROR(IF(INDEX('Open 1'!$A:$F,MATCH('Open 1 Results'!$E26,'Open 1'!$F:$F,0),3)&gt;0,INDEX('Open 1'!$A:$F,MATCH('Open 1 Results'!$E26,'Open 1'!$F:$F,0),3),""),"")</f>
        <v xml:space="preserve">Bubba </v>
      </c>
      <c r="D26" s="85">
        <f>IFERROR(IF(AND(SMALL('Open 1'!F:F,L26)&gt;1000,SMALL('Open 1'!F:F,L26)&lt;3000),"nt",IF(SMALL('Open 1'!F:F,L26)&gt;3000,"",SMALL('Open 1'!F:F,L26))),"")</f>
        <v>17.225000033000001</v>
      </c>
      <c r="E26" s="115">
        <f>IF(D26="nt",IFERROR(SMALL('Open 1'!F:F,L26),""),IF(D26&gt;3000,"",IFERROR(SMALL('Open 1'!F:F,L26),"")))</f>
        <v>17.225000033000001</v>
      </c>
      <c r="F26" s="86" t="str">
        <f t="shared" si="0"/>
        <v>4D</v>
      </c>
      <c r="G26" s="91" t="str">
        <f t="shared" si="1"/>
        <v/>
      </c>
      <c r="J26" s="162">
        <v>5</v>
      </c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35</v>
      </c>
      <c r="B27" s="84" t="str">
        <f>IFERROR(IF(INDEX('Open 1'!$A:$F,MATCH('Open 1 Results'!$E27,'Open 1'!$F:$F,0),2)&gt;0,INDEX('Open 1'!$A:$F,MATCH('Open 1 Results'!$E27,'Open 1'!$F:$F,0),2),""),"")</f>
        <v xml:space="preserve">Maggie Noonan </v>
      </c>
      <c r="C27" s="84" t="str">
        <f>IFERROR(IF(INDEX('Open 1'!$A:$F,MATCH('Open 1 Results'!$E27,'Open 1'!$F:$F,0),3)&gt;0,INDEX('Open 1'!$A:$F,MATCH('Open 1 Results'!$E27,'Open 1'!$F:$F,0),3),""),"")</f>
        <v xml:space="preserve">Archie </v>
      </c>
      <c r="D27" s="85">
        <f>IFERROR(IF(AND(SMALL('Open 1'!F:F,L27)&gt;1000,SMALL('Open 1'!F:F,L27)&lt;3000),"nt",IF(SMALL('Open 1'!F:F,L27)&gt;3000,"",SMALL('Open 1'!F:F,L27))),"")</f>
        <v>18.496000040999999</v>
      </c>
      <c r="E27" s="115">
        <f>IF(D27="nt",IFERROR(SMALL('Open 1'!F:F,L27),""),IF(D27&gt;3000,"",IFERROR(SMALL('Open 1'!F:F,L27),"")))</f>
        <v>18.496000040999999</v>
      </c>
      <c r="F27" s="86" t="str">
        <f t="shared" si="0"/>
        <v>4D</v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41</v>
      </c>
      <c r="B28" s="84" t="str">
        <f>IFERROR(IF(INDEX('Open 1'!$A:$F,MATCH('Open 1 Results'!$E28,'Open 1'!$F:$F,0),2)&gt;0,INDEX('Open 1'!$A:$F,MATCH('Open 1 Results'!$E28,'Open 1'!$F:$F,0),2),""),"")</f>
        <v>Blair Ellefson</v>
      </c>
      <c r="C28" s="84" t="str">
        <f>IFERROR(IF(INDEX('Open 1'!$A:$F,MATCH('Open 1 Results'!$E28,'Open 1'!$F:$F,0),3)&gt;0,INDEX('Open 1'!$A:$F,MATCH('Open 1 Results'!$E28,'Open 1'!$F:$F,0),3),""),"")</f>
        <v>Maple</v>
      </c>
      <c r="D28" s="85">
        <f>IFERROR(IF(AND(SMALL('Open 1'!F:F,L28)&gt;1000,SMALL('Open 1'!F:F,L28)&lt;3000),"nt",IF(SMALL('Open 1'!F:F,L28)&gt;3000,"",SMALL('Open 1'!F:F,L28))),"")</f>
        <v>18.625000049000001</v>
      </c>
      <c r="E28" s="115">
        <f>IF(D28="nt",IFERROR(SMALL('Open 1'!F:F,L28),""),IF(D28&gt;3000,"",IFERROR(SMALL('Open 1'!F:F,L28),"")))</f>
        <v>18.625000049000001</v>
      </c>
      <c r="F28" s="86" t="str">
        <f t="shared" si="0"/>
        <v>4D</v>
      </c>
      <c r="G28" s="91" t="str">
        <f t="shared" si="1"/>
        <v/>
      </c>
      <c r="J28" s="162"/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10</v>
      </c>
      <c r="B29" s="84" t="str">
        <f>IFERROR(IF(INDEX('Open 1'!$A:$F,MATCH('Open 1 Results'!$E29,'Open 1'!$F:$F,0),2)&gt;0,INDEX('Open 1'!$A:$F,MATCH('Open 1 Results'!$E29,'Open 1'!$F:$F,0),2),""),"")</f>
        <v xml:space="preserve">Margaret Miller </v>
      </c>
      <c r="C29" s="84" t="str">
        <f>IFERROR(IF(INDEX('Open 1'!$A:$F,MATCH('Open 1 Results'!$E29,'Open 1'!$F:$F,0),3)&gt;0,INDEX('Open 1'!$A:$F,MATCH('Open 1 Results'!$E29,'Open 1'!$F:$F,0),3),""),"")</f>
        <v xml:space="preserve">Seven </v>
      </c>
      <c r="D29" s="85">
        <f>IFERROR(IF(AND(SMALL('Open 1'!F:F,L29)&gt;1000,SMALL('Open 1'!F:F,L29)&lt;3000),"nt",IF(SMALL('Open 1'!F:F,L29)&gt;3000,"",SMALL('Open 1'!F:F,L29))),"")</f>
        <v>18.760000011000002</v>
      </c>
      <c r="E29" s="115">
        <f>IF(D29="nt",IFERROR(SMALL('Open 1'!F:F,L29),""),IF(D29&gt;3000,"",IFERROR(SMALL('Open 1'!F:F,L29),"")))</f>
        <v>18.760000011000002</v>
      </c>
      <c r="F29" s="86" t="str">
        <f t="shared" si="0"/>
        <v>4D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26</v>
      </c>
      <c r="B30" s="84" t="str">
        <f>IFERROR(IF(INDEX('Open 1'!$A:$F,MATCH('Open 1 Results'!$E30,'Open 1'!$F:$F,0),2)&gt;0,INDEX('Open 1'!$A:$F,MATCH('Open 1 Results'!$E30,'Open 1'!$F:$F,0),2),""),"")</f>
        <v xml:space="preserve">Casey VandenBosch </v>
      </c>
      <c r="C30" s="84" t="str">
        <f>IFERROR(IF(INDEX('Open 1'!$A:$F,MATCH('Open 1 Results'!$E30,'Open 1'!$F:$F,0),3)&gt;0,INDEX('Open 1'!$A:$F,MATCH('Open 1 Results'!$E30,'Open 1'!$F:$F,0),3),""),"")</f>
        <v>Coronas Goldmine</v>
      </c>
      <c r="D30" s="85">
        <f>IFERROR(IF(AND(SMALL('Open 1'!F:F,L30)&gt;1000,SMALL('Open 1'!F:F,L30)&lt;3000),"nt",IF(SMALL('Open 1'!F:F,L30)&gt;3000,"",SMALL('Open 1'!F:F,L30))),"")</f>
        <v>19.361000031</v>
      </c>
      <c r="E30" s="115">
        <f>IF(D30="nt",IFERROR(SMALL('Open 1'!F:F,L30),""),IF(D30&gt;3000,"",IFERROR(SMALL('Open 1'!F:F,L30),"")))</f>
        <v>19.361000031</v>
      </c>
      <c r="F30" s="86" t="str">
        <f t="shared" si="0"/>
        <v>4D</v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20</v>
      </c>
      <c r="B31" s="84" t="str">
        <f>IFERROR(IF(INDEX('Open 1'!$A:$F,MATCH('Open 1 Results'!$E31,'Open 1'!$F:$F,0),2)&gt;0,INDEX('Open 1'!$A:$F,MATCH('Open 1 Results'!$E31,'Open 1'!$F:$F,0),2),""),"")</f>
        <v xml:space="preserve">Ronna Pinney </v>
      </c>
      <c r="C31" s="84" t="str">
        <f>IFERROR(IF(INDEX('Open 1'!$A:$F,MATCH('Open 1 Results'!$E31,'Open 1'!$F:$F,0),3)&gt;0,INDEX('Open 1'!$A:$F,MATCH('Open 1 Results'!$E31,'Open 1'!$F:$F,0),3),""),"")</f>
        <v xml:space="preserve">SP Streaknfreaknfast </v>
      </c>
      <c r="D31" s="85">
        <f>IFERROR(IF(AND(SMALL('Open 1'!F:F,L31)&gt;1000,SMALL('Open 1'!F:F,L31)&lt;3000),"nt",IF(SMALL('Open 1'!F:F,L31)&gt;3000,"",SMALL('Open 1'!F:F,L31))),"")</f>
        <v>19.713000022999999</v>
      </c>
      <c r="E31" s="115">
        <f>IF(D31="nt",IFERROR(SMALL('Open 1'!F:F,L31),""),IF(D31&gt;3000,"",IFERROR(SMALL('Open 1'!F:F,L31),"")))</f>
        <v>19.713000022999999</v>
      </c>
      <c r="F31" s="86" t="str">
        <f t="shared" si="0"/>
        <v>4D</v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11</v>
      </c>
      <c r="B32" s="84" t="str">
        <f>IFERROR(IF(INDEX('Open 1'!$A:$F,MATCH('Open 1 Results'!$E32,'Open 1'!$F:$F,0),2)&gt;0,INDEX('Open 1'!$A:$F,MATCH('Open 1 Results'!$E32,'Open 1'!$F:$F,0),2),""),"")</f>
        <v xml:space="preserve">Ashley Carlson </v>
      </c>
      <c r="C32" s="84" t="str">
        <f>IFERROR(IF(INDEX('Open 1'!$A:$F,MATCH('Open 1 Results'!$E32,'Open 1'!$F:$F,0),3)&gt;0,INDEX('Open 1'!$A:$F,MATCH('Open 1 Results'!$E32,'Open 1'!$F:$F,0),3),""),"")</f>
        <v xml:space="preserve">Chaser </v>
      </c>
      <c r="D32" s="85">
        <f>IFERROR(IF(AND(SMALL('Open 1'!F:F,L32)&gt;1000,SMALL('Open 1'!F:F,L32)&lt;3000),"nt",IF(SMALL('Open 1'!F:F,L32)&gt;3000,"",SMALL('Open 1'!F:F,L32))),"")</f>
        <v>24.085000013000002</v>
      </c>
      <c r="E32" s="115">
        <f>IF(D32="nt",IFERROR(SMALL('Open 1'!F:F,L32),""),IF(D32&gt;3000,"",IFERROR(SMALL('Open 1'!F:F,L32),"")))</f>
        <v>24.085000013000002</v>
      </c>
      <c r="F32" s="86" t="str">
        <f t="shared" si="0"/>
        <v>4D</v>
      </c>
      <c r="G32" s="91" t="str">
        <f t="shared" si="1"/>
        <v/>
      </c>
      <c r="J32" s="162"/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27</v>
      </c>
      <c r="B33" s="84" t="str">
        <f>IFERROR(IF(INDEX('Open 1'!$A:$F,MATCH('Open 1 Results'!$E33,'Open 1'!$F:$F,0),2)&gt;0,INDEX('Open 1'!$A:$F,MATCH('Open 1 Results'!$E33,'Open 1'!$F:$F,0),2),""),"")</f>
        <v xml:space="preserve">Katilynn Jorgensen </v>
      </c>
      <c r="C33" s="84" t="str">
        <f>IFERROR(IF(INDEX('Open 1'!$A:$F,MATCH('Open 1 Results'!$E33,'Open 1'!$F:$F,0),3)&gt;0,INDEX('Open 1'!$A:$F,MATCH('Open 1 Results'!$E33,'Open 1'!$F:$F,0),3),""),"")</f>
        <v xml:space="preserve">I Wood Frost Em </v>
      </c>
      <c r="D33" s="85">
        <f>IFERROR(IF(AND(SMALL('Open 1'!F:F,L33)&gt;1000,SMALL('Open 1'!F:F,L33)&lt;3000),"nt",IF(SMALL('Open 1'!F:F,L33)&gt;3000,"",SMALL('Open 1'!F:F,L33))),"")</f>
        <v>914.97900003200004</v>
      </c>
      <c r="E33" s="115">
        <f>IF(D33="nt",IFERROR(SMALL('Open 1'!F:F,L33),""),IF(D33&gt;3000,"",IFERROR(SMALL('Open 1'!F:F,L33),"")))</f>
        <v>914.97900003200004</v>
      </c>
      <c r="F33" s="86" t="str">
        <f t="shared" si="0"/>
        <v>4D</v>
      </c>
      <c r="G33" s="91" t="str">
        <f t="shared" si="1"/>
        <v/>
      </c>
      <c r="J33" s="162"/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22</v>
      </c>
      <c r="B34" s="84" t="str">
        <f>IFERROR(IF(INDEX('Open 1'!$A:$F,MATCH('Open 1 Results'!$E34,'Open 1'!$F:$F,0),2)&gt;0,INDEX('Open 1'!$A:$F,MATCH('Open 1 Results'!$E34,'Open 1'!$F:$F,0),2),""),"")</f>
        <v xml:space="preserve">Becca Cowan </v>
      </c>
      <c r="C34" s="84" t="str">
        <f>IFERROR(IF(INDEX('Open 1'!$A:$F,MATCH('Open 1 Results'!$E34,'Open 1'!$F:$F,0),3)&gt;0,INDEX('Open 1'!$A:$F,MATCH('Open 1 Results'!$E34,'Open 1'!$F:$F,0),3),""),"")</f>
        <v xml:space="preserve">Fire </v>
      </c>
      <c r="D34" s="85">
        <f>IFERROR(IF(AND(SMALL('Open 1'!F:F,L34)&gt;1000,SMALL('Open 1'!F:F,L34)&lt;3000),"nt",IF(SMALL('Open 1'!F:F,L34)&gt;3000,"",SMALL('Open 1'!F:F,L34))),"")</f>
        <v>915.02300002599998</v>
      </c>
      <c r="E34" s="115">
        <f>IF(D34="nt",IFERROR(SMALL('Open 1'!F:F,L34),""),IF(D34&gt;3000,"",IFERROR(SMALL('Open 1'!F:F,L34),"")))</f>
        <v>915.02300002599998</v>
      </c>
      <c r="F34" s="86" t="str">
        <f t="shared" si="0"/>
        <v>4D</v>
      </c>
      <c r="G34" s="91" t="str">
        <f t="shared" si="1"/>
        <v/>
      </c>
      <c r="J34" s="162"/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29</v>
      </c>
      <c r="B35" s="84" t="str">
        <f>IFERROR(IF(INDEX('Open 1'!$A:$F,MATCH('Open 1 Results'!$E35,'Open 1'!$F:$F,0),2)&gt;0,INDEX('Open 1'!$A:$F,MATCH('Open 1 Results'!$E35,'Open 1'!$F:$F,0),2),""),"")</f>
        <v xml:space="preserve">Kamryn Chapman </v>
      </c>
      <c r="C35" s="84" t="str">
        <f>IFERROR(IF(INDEX('Open 1'!$A:$F,MATCH('Open 1 Results'!$E35,'Open 1'!$F:$F,0),3)&gt;0,INDEX('Open 1'!$A:$F,MATCH('Open 1 Results'!$E35,'Open 1'!$F:$F,0),3),""),"")</f>
        <v xml:space="preserve">BW so bada lover </v>
      </c>
      <c r="D35" s="85">
        <f>IFERROR(IF(AND(SMALL('Open 1'!F:F,L35)&gt;1000,SMALL('Open 1'!F:F,L35)&lt;3000),"nt",IF(SMALL('Open 1'!F:F,L35)&gt;3000,"",SMALL('Open 1'!F:F,L35))),"")</f>
        <v>915.04100003400004</v>
      </c>
      <c r="E35" s="115">
        <f>IF(D35="nt",IFERROR(SMALL('Open 1'!F:F,L35),""),IF(D35&gt;3000,"",IFERROR(SMALL('Open 1'!F:F,L35),"")))</f>
        <v>915.04100003400004</v>
      </c>
      <c r="F35" s="86" t="str">
        <f t="shared" si="0"/>
        <v>4D</v>
      </c>
      <c r="G35" s="91" t="str">
        <f t="shared" si="1"/>
        <v/>
      </c>
      <c r="J35" s="162"/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5</v>
      </c>
      <c r="B36" s="84" t="str">
        <f>IFERROR(IF(INDEX('Open 1'!$A:$F,MATCH('Open 1 Results'!$E36,'Open 1'!$F:$F,0),2)&gt;0,INDEX('Open 1'!$A:$F,MATCH('Open 1 Results'!$E36,'Open 1'!$F:$F,0),2),""),"")</f>
        <v xml:space="preserve">Maggie Noonan </v>
      </c>
      <c r="C36" s="84" t="str">
        <f>IFERROR(IF(INDEX('Open 1'!$A:$F,MATCH('Open 1 Results'!$E36,'Open 1'!$F:$F,0),3)&gt;0,INDEX('Open 1'!$A:$F,MATCH('Open 1 Results'!$E36,'Open 1'!$F:$F,0),3),""),"")</f>
        <v>Rook</v>
      </c>
      <c r="D36" s="85">
        <f>IFERROR(IF(AND(SMALL('Open 1'!F:F,L36)&gt;1000,SMALL('Open 1'!F:F,L36)&lt;3000),"nt",IF(SMALL('Open 1'!F:F,L36)&gt;3000,"",SMALL('Open 1'!F:F,L36))),"")</f>
        <v>915.10800000499989</v>
      </c>
      <c r="E36" s="115">
        <f>IF(D36="nt",IFERROR(SMALL('Open 1'!F:F,L36),""),IF(D36&gt;3000,"",IFERROR(SMALL('Open 1'!F:F,L36),"")))</f>
        <v>915.10800000499989</v>
      </c>
      <c r="F36" s="86" t="str">
        <f t="shared" si="0"/>
        <v>4D</v>
      </c>
      <c r="G36" s="91" t="str">
        <f t="shared" si="1"/>
        <v/>
      </c>
      <c r="J36" s="162"/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9</v>
      </c>
      <c r="B37" s="84" t="str">
        <f>IFERROR(IF(INDEX('Open 1'!$A:$F,MATCH('Open 1 Results'!$E37,'Open 1'!$F:$F,0),2)&gt;0,INDEX('Open 1'!$A:$F,MATCH('Open 1 Results'!$E37,'Open 1'!$F:$F,0),2),""),"")</f>
        <v xml:space="preserve">Jamie Zuidema </v>
      </c>
      <c r="C37" s="84" t="str">
        <f>IFERROR(IF(INDEX('Open 1'!$A:$F,MATCH('Open 1 Results'!$E37,'Open 1'!$F:$F,0),3)&gt;0,INDEX('Open 1'!$A:$F,MATCH('Open 1 Results'!$E37,'Open 1'!$F:$F,0),3),""),"")</f>
        <v xml:space="preserve">Lucy </v>
      </c>
      <c r="D37" s="85">
        <f>IFERROR(IF(AND(SMALL('Open 1'!F:F,L37)&gt;1000,SMALL('Open 1'!F:F,L37)&lt;3000),"nt",IF(SMALL('Open 1'!F:F,L37)&gt;3000,"",SMALL('Open 1'!F:F,L37))),"")</f>
        <v>915.34600001000001</v>
      </c>
      <c r="E37" s="115">
        <f>IF(D37="nt",IFERROR(SMALL('Open 1'!F:F,L37),""),IF(D37&gt;3000,"",IFERROR(SMALL('Open 1'!F:F,L37),"")))</f>
        <v>915.34600001000001</v>
      </c>
      <c r="F37" s="86" t="str">
        <f t="shared" si="0"/>
        <v>4D</v>
      </c>
      <c r="G37" s="91" t="str">
        <f t="shared" si="1"/>
        <v/>
      </c>
      <c r="J37" s="162" t="s">
        <v>179</v>
      </c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42</v>
      </c>
      <c r="B38" s="84" t="str">
        <f>IFERROR(IF(INDEX('Open 1'!$A:$F,MATCH('Open 1 Results'!$E38,'Open 1'!$F:$F,0),2)&gt;0,INDEX('Open 1'!$A:$F,MATCH('Open 1 Results'!$E38,'Open 1'!$F:$F,0),2),""),"")</f>
        <v>Kaitlynn Jorgensen</v>
      </c>
      <c r="C38" s="84" t="str">
        <f>IFERROR(IF(INDEX('Open 1'!$A:$F,MATCH('Open 1 Results'!$E38,'Open 1'!$F:$F,0),3)&gt;0,INDEX('Open 1'!$A:$F,MATCH('Open 1 Results'!$E38,'Open 1'!$F:$F,0),3),""),"")</f>
        <v>Kitty Dun It</v>
      </c>
      <c r="D38" s="85">
        <f>IFERROR(IF(AND(SMALL('Open 1'!F:F,L38)&gt;1000,SMALL('Open 1'!F:F,L38)&lt;3000),"nt",IF(SMALL('Open 1'!F:F,L38)&gt;3000,"",SMALL('Open 1'!F:F,L38))),"")</f>
        <v>915.52300005000006</v>
      </c>
      <c r="E38" s="115">
        <f>IF(D38="nt",IFERROR(SMALL('Open 1'!F:F,L38),""),IF(D38&gt;3000,"",IFERROR(SMALL('Open 1'!F:F,L38),"")))</f>
        <v>915.52300005000006</v>
      </c>
      <c r="F38" s="86" t="str">
        <f t="shared" si="0"/>
        <v>4D</v>
      </c>
      <c r="G38" s="91" t="str">
        <f t="shared" si="1"/>
        <v/>
      </c>
      <c r="J38" s="162"/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18</v>
      </c>
      <c r="B39" s="84" t="str">
        <f>IFERROR(IF(INDEX('Open 1'!$A:$F,MATCH('Open 1 Results'!$E39,'Open 1'!$F:$F,0),2)&gt;0,INDEX('Open 1'!$A:$F,MATCH('Open 1 Results'!$E39,'Open 1'!$F:$F,0),2),""),"")</f>
        <v xml:space="preserve">Josey Booth </v>
      </c>
      <c r="C39" s="84" t="str">
        <f>IFERROR(IF(INDEX('Open 1'!$A:$F,MATCH('Open 1 Results'!$E39,'Open 1'!$F:$F,0),3)&gt;0,INDEX('Open 1'!$A:$F,MATCH('Open 1 Results'!$E39,'Open 1'!$F:$F,0),3),""),"")</f>
        <v xml:space="preserve">Sweet Red Bobby Sox </v>
      </c>
      <c r="D39" s="85">
        <f>IFERROR(IF(AND(SMALL('Open 1'!F:F,L39)&gt;1000,SMALL('Open 1'!F:F,L39)&lt;3000),"nt",IF(SMALL('Open 1'!F:F,L39)&gt;3000,"",SMALL('Open 1'!F:F,L39))),"")</f>
        <v>915.54200002100004</v>
      </c>
      <c r="E39" s="115">
        <f>IF(D39="nt",IFERROR(SMALL('Open 1'!F:F,L39),""),IF(D39&gt;3000,"",IFERROR(SMALL('Open 1'!F:F,L39),"")))</f>
        <v>915.54200002100004</v>
      </c>
      <c r="F39" s="86" t="str">
        <f t="shared" si="0"/>
        <v>4D</v>
      </c>
      <c r="G39" s="91" t="str">
        <f t="shared" si="1"/>
        <v/>
      </c>
      <c r="J39" s="162" t="s">
        <v>179</v>
      </c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17</v>
      </c>
      <c r="B40" s="84" t="str">
        <f>IFERROR(IF(INDEX('Open 1'!$A:$F,MATCH('Open 1 Results'!$E40,'Open 1'!$F:$F,0),2)&gt;0,INDEX('Open 1'!$A:$F,MATCH('Open 1 Results'!$E40,'Open 1'!$F:$F,0),2),""),"")</f>
        <v xml:space="preserve">Keenan Lenzen </v>
      </c>
      <c r="C40" s="84" t="str">
        <f>IFERROR(IF(INDEX('Open 1'!$A:$F,MATCH('Open 1 Results'!$E40,'Open 1'!$F:$F,0),3)&gt;0,INDEX('Open 1'!$A:$F,MATCH('Open 1 Results'!$E40,'Open 1'!$F:$F,0),3),""),"")</f>
        <v xml:space="preserve">Reno </v>
      </c>
      <c r="D40" s="85">
        <f>IFERROR(IF(AND(SMALL('Open 1'!F:F,L40)&gt;1000,SMALL('Open 1'!F:F,L40)&lt;3000),"nt",IF(SMALL('Open 1'!F:F,L40)&gt;3000,"",SMALL('Open 1'!F:F,L40))),"")</f>
        <v>915.84900002000006</v>
      </c>
      <c r="E40" s="115">
        <f>IF(D40="nt",IFERROR(SMALL('Open 1'!F:F,L40),""),IF(D40&gt;3000,"",IFERROR(SMALL('Open 1'!F:F,L40),"")))</f>
        <v>915.84900002000006</v>
      </c>
      <c r="F40" s="86" t="str">
        <f t="shared" si="0"/>
        <v>4D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21</v>
      </c>
      <c r="B41" s="84" t="str">
        <f>IFERROR(IF(INDEX('Open 1'!$A:$F,MATCH('Open 1 Results'!$E41,'Open 1'!$F:$F,0),2)&gt;0,INDEX('Open 1'!$A:$F,MATCH('Open 1 Results'!$E41,'Open 1'!$F:$F,0),2),""),"")</f>
        <v xml:space="preserve">Livya Braskamp </v>
      </c>
      <c r="C41" s="84" t="str">
        <f>IFERROR(IF(INDEX('Open 1'!$A:$F,MATCH('Open 1 Results'!$E41,'Open 1'!$F:$F,0),3)&gt;0,INDEX('Open 1'!$A:$F,MATCH('Open 1 Results'!$E41,'Open 1'!$F:$F,0),3),""),"")</f>
        <v xml:space="preserve">Firefly </v>
      </c>
      <c r="D41" s="85">
        <f>IFERROR(IF(AND(SMALL('Open 1'!F:F,L41)&gt;1000,SMALL('Open 1'!F:F,L41)&lt;3000),"nt",IF(SMALL('Open 1'!F:F,L41)&gt;3000,"",SMALL('Open 1'!F:F,L41))),"")</f>
        <v>916.11900002499999</v>
      </c>
      <c r="E41" s="115">
        <f>IF(D41="nt",IFERROR(SMALL('Open 1'!F:F,L41),""),IF(D41&gt;3000,"",IFERROR(SMALL('Open 1'!F:F,L41),"")))</f>
        <v>916.11900002499999</v>
      </c>
      <c r="F41" s="86" t="str">
        <f t="shared" si="0"/>
        <v>4D</v>
      </c>
      <c r="G41" s="91" t="str">
        <f t="shared" si="1"/>
        <v/>
      </c>
      <c r="J41" s="162" t="s">
        <v>179</v>
      </c>
      <c r="K41" s="121" t="s">
        <v>179</v>
      </c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25</v>
      </c>
      <c r="B42" s="84" t="str">
        <f>IFERROR(IF(INDEX('Open 1'!$A:$F,MATCH('Open 1 Results'!$E42,'Open 1'!$F:$F,0),2)&gt;0,INDEX('Open 1'!$A:$F,MATCH('Open 1 Results'!$E42,'Open 1'!$F:$F,0),2),""),"")</f>
        <v xml:space="preserve">Laura Roelfs </v>
      </c>
      <c r="C42" s="84" t="str">
        <f>IFERROR(IF(INDEX('Open 1'!$A:$F,MATCH('Open 1 Results'!$E42,'Open 1'!$F:$F,0),3)&gt;0,INDEX('Open 1'!$A:$F,MATCH('Open 1 Results'!$E42,'Open 1'!$F:$F,0),3),""),"")</f>
        <v xml:space="preserve">CheckCashinConway </v>
      </c>
      <c r="D42" s="85">
        <f>IFERROR(IF(AND(SMALL('Open 1'!F:F,L42)&gt;1000,SMALL('Open 1'!F:F,L42)&lt;3000),"nt",IF(SMALL('Open 1'!F:F,L42)&gt;3000,"",SMALL('Open 1'!F:F,L42))),"")</f>
        <v>916.74700002899999</v>
      </c>
      <c r="E42" s="115">
        <f>IF(D42="nt",IFERROR(SMALL('Open 1'!F:F,L42),""),IF(D42&gt;3000,"",IFERROR(SMALL('Open 1'!F:F,L42),"")))</f>
        <v>916.74700002899999</v>
      </c>
      <c r="F42" s="86" t="str">
        <f t="shared" si="0"/>
        <v>4D</v>
      </c>
      <c r="G42" s="91" t="str">
        <f t="shared" si="1"/>
        <v/>
      </c>
      <c r="J42" s="162"/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14</v>
      </c>
      <c r="B43" s="84" t="str">
        <f>IFERROR(IF(INDEX('Open 1'!$A:$F,MATCH('Open 1 Results'!$E43,'Open 1'!$F:$F,0),2)&gt;0,INDEX('Open 1'!$A:$F,MATCH('Open 1 Results'!$E43,'Open 1'!$F:$F,0),2),""),"")</f>
        <v>Katie Novak</v>
      </c>
      <c r="C43" s="84" t="str">
        <f>IFERROR(IF(INDEX('Open 1'!$A:$F,MATCH('Open 1 Results'!$E43,'Open 1'!$F:$F,0),3)&gt;0,INDEX('Open 1'!$A:$F,MATCH('Open 1 Results'!$E43,'Open 1'!$F:$F,0),3),""),"")</f>
        <v>Lynx</v>
      </c>
      <c r="D43" s="85">
        <f>IFERROR(IF(AND(SMALL('Open 1'!F:F,L43)&gt;1000,SMALL('Open 1'!F:F,L43)&lt;3000),"nt",IF(SMALL('Open 1'!F:F,L43)&gt;3000,"",SMALL('Open 1'!F:F,L43))),"")</f>
        <v>929.09300001599991</v>
      </c>
      <c r="E43" s="115">
        <f>IF(D43="nt",IFERROR(SMALL('Open 1'!F:F,L43),""),IF(D43&gt;3000,"",IFERROR(SMALL('Open 1'!F:F,L43),"")))</f>
        <v>929.09300001599991</v>
      </c>
      <c r="F43" s="86" t="str">
        <f t="shared" si="0"/>
        <v>4D</v>
      </c>
      <c r="G43" s="91" t="str">
        <f t="shared" si="1"/>
        <v/>
      </c>
      <c r="J43" s="162"/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6</v>
      </c>
      <c r="B44" s="84" t="str">
        <f>IFERROR(IF(INDEX('Open 1'!$A:$F,MATCH('Open 1 Results'!$E44,'Open 1'!$F:$F,0),2)&gt;0,INDEX('Open 1'!$A:$F,MATCH('Open 1 Results'!$E44,'Open 1'!$F:$F,0),2),""),"")</f>
        <v xml:space="preserve">Alix VanderVoort </v>
      </c>
      <c r="C44" s="84" t="str">
        <f>IFERROR(IF(INDEX('Open 1'!$A:$F,MATCH('Open 1 Results'!$E44,'Open 1'!$F:$F,0),3)&gt;0,INDEX('Open 1'!$A:$F,MATCH('Open 1 Results'!$E44,'Open 1'!$F:$F,0),3),""),"")</f>
        <v xml:space="preserve">I Dance for Perks </v>
      </c>
      <c r="D44" s="85" t="str">
        <f>IFERROR(IF(AND(SMALL('Open 1'!F:F,L44)&gt;1000,SMALL('Open 1'!F:F,L44)&lt;3000),"nt",IF(SMALL('Open 1'!F:F,L44)&gt;3000,"",SMALL('Open 1'!F:F,L44))),"")</f>
        <v>nt</v>
      </c>
      <c r="E44" s="115">
        <f>IF(D44="nt",IFERROR(SMALL('Open 1'!F:F,L44),""),IF(D44&gt;3000,"",IFERROR(SMALL('Open 1'!F:F,L44),"")))</f>
        <v>1000.000000007</v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31</v>
      </c>
      <c r="B45" s="84" t="str">
        <f>IFERROR(IF(INDEX('Open 1'!$A:$F,MATCH('Open 1 Results'!$E45,'Open 1'!$F:$F,0),2)&gt;0,INDEX('Open 1'!$A:$F,MATCH('Open 1 Results'!$E45,'Open 1'!$F:$F,0),2),""),"")</f>
        <v xml:space="preserve">Arabella Cook </v>
      </c>
      <c r="C45" s="84" t="str">
        <f>IFERROR(IF(INDEX('Open 1'!$A:$F,MATCH('Open 1 Results'!$E45,'Open 1'!$F:$F,0),3)&gt;0,INDEX('Open 1'!$A:$F,MATCH('Open 1 Results'!$E45,'Open 1'!$F:$F,0),3),""),"")</f>
        <v xml:space="preserve">Dashtaberoyal </v>
      </c>
      <c r="D45" s="85" t="str">
        <f>IFERROR(IF(AND(SMALL('Open 1'!F:F,L45)&gt;1000,SMALL('Open 1'!F:F,L45)&lt;3000),"nt",IF(SMALL('Open 1'!F:F,L45)&gt;3000,"",SMALL('Open 1'!F:F,L45))),"")</f>
        <v>nt</v>
      </c>
      <c r="E45" s="115">
        <f>IF(D45="nt",IFERROR(SMALL('Open 1'!F:F,L45),""),IF(D45&gt;3000,"",IFERROR(SMALL('Open 1'!F:F,L45),"")))</f>
        <v>1000.0000000369999</v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45</v>
      </c>
      <c r="B46" s="84" t="str">
        <f>IFERROR(IF(INDEX('Open 1'!$A:$F,MATCH('Open 1 Results'!$E46,'Open 1'!$F:$F,0),2)&gt;0,INDEX('Open 1'!$A:$F,MATCH('Open 1 Results'!$E46,'Open 1'!$F:$F,0),2),""),"")</f>
        <v>Opal Harkins</v>
      </c>
      <c r="C46" s="84" t="str">
        <f>IFERROR(IF(INDEX('Open 1'!$A:$F,MATCH('Open 1 Results'!$E46,'Open 1'!$F:$F,0),3)&gt;0,INDEX('Open 1'!$A:$F,MATCH('Open 1 Results'!$E46,'Open 1'!$F:$F,0),3),""),"")</f>
        <v>Sully</v>
      </c>
      <c r="D46" s="85" t="str">
        <f>IFERROR(IF(AND(SMALL('Open 1'!F:F,L46)&gt;1000,SMALL('Open 1'!F:F,L46)&lt;3000),"nt",IF(SMALL('Open 1'!F:F,L46)&gt;3000,"",SMALL('Open 1'!F:F,L46))),"")</f>
        <v>nt</v>
      </c>
      <c r="E46" s="115">
        <f>IF(D46="nt",IFERROR(SMALL('Open 1'!F:F,L46),""),IF(D46&gt;3000,"",IFERROR(SMALL('Open 1'!F:F,L46),"")))</f>
        <v>1000.000000053</v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1'!$A:$F,MATCH('Open 1 Results'!$E47,'Open 1'!$F:$F,0),1)&gt;0,INDEX('Open 1'!$A:$F,MATCH('Open 1 Results'!$E47,'Open 1'!$F:$F,0),1),""),"")</f>
        <v/>
      </c>
      <c r="B47" s="84" t="str">
        <f>IFERROR(IF(INDEX('Open 1'!$A:$F,MATCH('Open 1 Results'!$E47,'Open 1'!$F:$F,0),2)&gt;0,INDEX('Open 1'!$A:$F,MATCH('Open 1 Results'!$E47,'Open 1'!$F:$F,0),2),""),"")</f>
        <v/>
      </c>
      <c r="C47" s="84" t="str">
        <f>IFERROR(IF(INDEX('Open 1'!$A:$F,MATCH('Open 1 Results'!$E47,'Open 1'!$F:$F,0),3)&gt;0,INDEX('Open 1'!$A:$F,MATCH('Open 1 Results'!$E47,'Open 1'!$F:$F,0),3),""),"")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5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1'!$A:$F,MATCH('Open 1 Results'!$E48,'Open 1'!$F:$F,0),1)&gt;0,INDEX('Open 1'!$A:$F,MATCH('Open 1 Results'!$E48,'Open 1'!$F:$F,0),1),""),"")</f>
        <v/>
      </c>
      <c r="B48" s="84" t="str">
        <f>IFERROR(IF(INDEX('Open 1'!$A:$F,MATCH('Open 1 Results'!$E48,'Open 1'!$F:$F,0),2)&gt;0,INDEX('Open 1'!$A:$F,MATCH('Open 1 Results'!$E48,'Open 1'!$F:$F,0),2),""),"")</f>
        <v/>
      </c>
      <c r="C48" s="84" t="str">
        <f>IFERROR(IF(INDEX('Open 1'!$A:$F,MATCH('Open 1 Results'!$E48,'Open 1'!$F:$F,0),3)&gt;0,INDEX('Open 1'!$A:$F,MATCH('Open 1 Results'!$E48,'Open 1'!$F:$F,0),3),""),"")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5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9" priority="3">
      <formula>LEN(TRIM(A1))=0</formula>
    </cfRule>
  </conditionalFormatting>
  <conditionalFormatting sqref="D2:D251">
    <cfRule type="containsBlanks" dxfId="28" priority="2">
      <formula>LEN(TRIM(D2))=0</formula>
    </cfRule>
  </conditionalFormatting>
  <conditionalFormatting sqref="E2:E251">
    <cfRule type="containsBlanks" dxfId="27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57" sqref="D57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8.28515625" style="17" hidden="1" customWidth="1"/>
    <col min="42" max="42" width="4.85546875" style="17" hidden="1" customWidth="1"/>
    <col min="43" max="47" width="6.4257812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Kamryn Chapman </v>
      </c>
      <c r="C2" s="19" t="str">
        <f>IFERROR(Draw!C2,"")</f>
        <v xml:space="preserve">Firewater Marvel Ice </v>
      </c>
      <c r="D2" s="174">
        <v>14.938000000000001</v>
      </c>
      <c r="E2" s="92">
        <v>1.0000000000000001E-9</v>
      </c>
      <c r="F2" s="93">
        <f>IF(D2="scratch",3000+E2,IF(D2="nt",1000+E2,IF((D2+E2)&gt;5,D2+E2,"")))</f>
        <v>14.938000001000001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14.938000000000001</v>
      </c>
      <c r="V2" s="3" t="str">
        <f>IFERROR(VLOOKUP('Open 1'!F2,$AC$3:$AD$7,2,TRUE),"")</f>
        <v>2D</v>
      </c>
      <c r="W2" s="7" t="str">
        <f>IFERROR(IF(V2=$W$1,'Open 1'!F2,""),"")</f>
        <v/>
      </c>
      <c r="X2" s="7">
        <f>IFERROR(IF(V2=$X$1,'Open 1'!F2,""),"")</f>
        <v>14.938000001000001</v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Arabella Cook </v>
      </c>
      <c r="C3" s="19" t="str">
        <f>IFERROR(Draw!C3,"")</f>
        <v xml:space="preserve">Charge it to Serrina </v>
      </c>
      <c r="D3" s="52">
        <v>14.372</v>
      </c>
      <c r="E3" s="92">
        <v>2.0000000000000001E-9</v>
      </c>
      <c r="F3" s="93">
        <f t="shared" ref="F3:F66" si="0">IF(D3="scratch",3000+E3,IF(D3="nt",1000+E3,IF((D3+E3)&gt;5,D3+E3,"")))</f>
        <v>14.372000002</v>
      </c>
      <c r="G3" s="62" t="str">
        <f>IF(A3="yco",VLOOKUP(_xlfn.CONCAT(B3,C3),Youth!S:T,2,FALSE),IF(OR(AND(D3&gt;1,D3&lt;1050),D3="nt",D3="",D3="scratch"),"","Not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14.372</v>
      </c>
      <c r="V3" s="3" t="str">
        <f>IFERROR(VLOOKUP('Open 1'!F3,$AC$3:$AD$7,2,TRUE),"")</f>
        <v>1D</v>
      </c>
      <c r="W3" s="7">
        <f>IFERROR(IF(V3=$W$1,'Open 1'!F3,""),"")</f>
        <v>14.372000002</v>
      </c>
      <c r="X3" s="7" t="str">
        <f>IFERROR(IF(V3=$X$1,'Open 1'!F3,""),"")</f>
        <v/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14.372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Kristine DeBerg </v>
      </c>
      <c r="C4" s="19" t="str">
        <f>IFERROR(Draw!C4,"")</f>
        <v xml:space="preserve">Jessfrostmycake </v>
      </c>
      <c r="D4" s="53">
        <v>15.379</v>
      </c>
      <c r="E4" s="92">
        <v>3E-9</v>
      </c>
      <c r="F4" s="93">
        <f t="shared" si="0"/>
        <v>15.379000003</v>
      </c>
      <c r="G4" s="62" t="str">
        <f>IF(A4="yco",VLOOKUP(_xlfn.CONCAT(B4,C4),Youth!S:T,2,FALSE),IF(OR(AND(D4&gt;1,D4&lt;1050),D4="nt",D4="",D4="scratch"),"","Not valid"))</f>
        <v/>
      </c>
      <c r="L4" s="226" t="s">
        <v>3</v>
      </c>
      <c r="M4" s="72" t="str">
        <f>AD10</f>
        <v>1st</v>
      </c>
      <c r="N4" s="73" t="str">
        <f>'Open 1'!AE10</f>
        <v xml:space="preserve">Arabella Cook </v>
      </c>
      <c r="O4" s="73" t="str">
        <f>'Open 1'!AF10</f>
        <v xml:space="preserve">Charge it to Serrina </v>
      </c>
      <c r="P4" s="182">
        <f>'Open 1'!AG10</f>
        <v>14.372000002</v>
      </c>
      <c r="Q4" s="156">
        <f>AH10</f>
        <v>100.8</v>
      </c>
      <c r="R4" s="187" t="str">
        <f>IF(M4="Tie",AK11,"")</f>
        <v/>
      </c>
      <c r="S4" s="17" t="e">
        <f t="shared" ca="1" si="1"/>
        <v>#NAME?</v>
      </c>
      <c r="T4" s="93">
        <f t="shared" si="2"/>
        <v>15.379</v>
      </c>
      <c r="V4" s="3" t="str">
        <f>IFERROR(VLOOKUP('Open 1'!F4,$AC$3:$AD$7,2,TRUE),"")</f>
        <v>3D</v>
      </c>
      <c r="W4" s="7" t="str">
        <f>IFERROR(IF(V4=$W$1,'Open 1'!F4,""),"")</f>
        <v/>
      </c>
      <c r="X4" s="7" t="str">
        <f>IFERROR(IF(V4=$X$1,'Open 1'!F4,""),"")</f>
        <v/>
      </c>
      <c r="Y4" s="7">
        <f>IFERROR(IF(V4=$Y$1,'Open 1'!F4,""),"")</f>
        <v>15.379000003</v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14.872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Sara Jo Lamb </v>
      </c>
      <c r="C5" s="19" t="str">
        <f>IFERROR(Draw!C5,"")</f>
        <v xml:space="preserve">Chance </v>
      </c>
      <c r="D5" s="54">
        <v>14.528</v>
      </c>
      <c r="E5" s="92">
        <v>4.0000000000000002E-9</v>
      </c>
      <c r="F5" s="93">
        <f t="shared" si="0"/>
        <v>14.528000004000001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14.372</v>
      </c>
      <c r="L5" s="227"/>
      <c r="M5" s="30" t="str">
        <f>IF($J$13&lt;"2","",IF(AD11="Tie","Tie",AD11))</f>
        <v>2nd</v>
      </c>
      <c r="N5" s="20" t="str">
        <f>IF(M5="","",'Open 1'!AE11)</f>
        <v xml:space="preserve">Alix VanderVoort </v>
      </c>
      <c r="O5" s="20" t="str">
        <f>IF(N5="","",'Open 1'!AF11)</f>
        <v xml:space="preserve">RC Whiskey N Roses </v>
      </c>
      <c r="P5" s="41">
        <f>IF(O5="","",'Open 1'!AG11)</f>
        <v>14.48000004</v>
      </c>
      <c r="Q5" s="157">
        <f>AH11</f>
        <v>75.599999999999994</v>
      </c>
      <c r="R5" s="187" t="str">
        <f>IF(M5="Tie",AK12,"")</f>
        <v/>
      </c>
      <c r="S5" s="17" t="e">
        <f t="shared" ca="1" si="1"/>
        <v>#NAME?</v>
      </c>
      <c r="T5" s="93">
        <f t="shared" si="2"/>
        <v>14.528</v>
      </c>
      <c r="V5" s="3" t="str">
        <f>IFERROR(VLOOKUP('Open 1'!F5,$AC$3:$AD$7,2,TRUE),"")</f>
        <v>1D</v>
      </c>
      <c r="W5" s="7">
        <f>IFERROR(IF(V5=$W$1,'Open 1'!F5,""),"")</f>
        <v>14.528000004000001</v>
      </c>
      <c r="X5" s="7" t="str">
        <f>IFERROR(IF(V5=$X$1,'Open 1'!F5,""),"")</f>
        <v/>
      </c>
      <c r="Y5" s="7" t="str">
        <f>IFERROR(IF(V5=$Y$1,'Open 1'!F5,""),"")</f>
        <v/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15.372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100.8</v>
      </c>
      <c r="AR5" s="152">
        <f>HLOOKUP($J$11,$AL$4:$AP$9,2,TRUE)*AR$10</f>
        <v>86.4</v>
      </c>
      <c r="AS5" s="152">
        <f>HLOOKUP($J$11,$AL$4:$AP$9,2,TRUE)*AS$10</f>
        <v>57.6</v>
      </c>
      <c r="AT5" s="152">
        <f>HLOOKUP($J$11,$AL$4:$AP$9,2,TRUE)*AT$10</f>
        <v>43.2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Maggie Noonan </v>
      </c>
      <c r="C6" s="19" t="str">
        <f>IFERROR(Draw!C6,"")</f>
        <v>Rook</v>
      </c>
      <c r="D6" s="54">
        <v>915.10799999999995</v>
      </c>
      <c r="E6" s="92">
        <v>5.0000000000000001E-9</v>
      </c>
      <c r="F6" s="93">
        <f t="shared" si="0"/>
        <v>915.10800000499989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14.872</v>
      </c>
      <c r="L6" s="227"/>
      <c r="M6" s="30" t="str">
        <f>IF($J$13&lt;"3","",IF(AD12="Tie","Tie",AD12))</f>
        <v>3rd</v>
      </c>
      <c r="N6" s="20" t="str">
        <f>IF(M6="","",'Open 1'!AE12)</f>
        <v xml:space="preserve">Sara Jo Lamb </v>
      </c>
      <c r="O6" s="20" t="str">
        <f>IF(N6="","",'Open 1'!AF12)</f>
        <v xml:space="preserve">Chance </v>
      </c>
      <c r="P6" s="41">
        <f>IF(O6="","",'Open 1'!AG12)</f>
        <v>14.528000004000001</v>
      </c>
      <c r="Q6" s="157">
        <f>AH12</f>
        <v>50.4</v>
      </c>
      <c r="R6" s="187" t="str">
        <f>IF(M6="Tie",AK13,"")</f>
        <v/>
      </c>
      <c r="S6" s="17" t="e">
        <f t="shared" ca="1" si="1"/>
        <v>#NAME?</v>
      </c>
      <c r="T6" s="93">
        <f t="shared" si="2"/>
        <v>915.10799999999995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915.10800000499989</v>
      </c>
      <c r="AA6" s="7" t="str">
        <f>IFERROR(IF(V6=$AA$1,'Open 1'!F6,""),"")</f>
        <v/>
      </c>
      <c r="AB6" s="3"/>
      <c r="AC6" s="9">
        <f>IF(J11&gt;=75,AC5+0.5,AC5+1)</f>
        <v>16.372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75.599999999999994</v>
      </c>
      <c r="AR6" s="152">
        <f>HLOOKUP($J$11,$AL$4:$AP$9,3,TRUE)*AR$10</f>
        <v>64.8</v>
      </c>
      <c r="AS6" s="152">
        <f>HLOOKUP($J$11,$AL$4:$AP$9,3,TRUE)*AS$10</f>
        <v>43.199999999999996</v>
      </c>
      <c r="AT6" s="152">
        <f>HLOOKUP($J$11,$AL$4:$AP$9,3,TRUE)*AT$10</f>
        <v>32.4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15.372</v>
      </c>
      <c r="L7" s="227"/>
      <c r="M7" s="30" t="str">
        <f>IF($J$13&lt;"4","",IF(AD13="Tie","Tie",AD13))</f>
        <v>4th</v>
      </c>
      <c r="N7" s="20" t="str">
        <f>IF(M7="","",'Open 1'!AE13)</f>
        <v>Laynie Schuler</v>
      </c>
      <c r="O7" s="20" t="str">
        <f>IF(N7="","",'Open 1'!AF13)</f>
        <v>Stolis Prissy Genes</v>
      </c>
      <c r="P7" s="41">
        <f>IF(O7="","",'Open 1'!AG13)</f>
        <v>14.674000042999999</v>
      </c>
      <c r="Q7" s="157">
        <f>AH13</f>
        <v>25.2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50.4</v>
      </c>
      <c r="AR7" s="152">
        <f>HLOOKUP($J$11,$AL$4:$AP$9,4,TRUE)*AR$10</f>
        <v>43.2</v>
      </c>
      <c r="AS7" s="152">
        <f>HLOOKUP($J$11,$AL$4:$AP$9,4,TRUE)*AS$10</f>
        <v>28.8</v>
      </c>
      <c r="AT7" s="152">
        <f>HLOOKUP($J$11,$AL$4:$AP$9,4,TRUE)*AT$10</f>
        <v>21.6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Alix VanderVoort </v>
      </c>
      <c r="C8" s="19" t="str">
        <f>IFERROR(Draw!C8,"")</f>
        <v xml:space="preserve">I Dance for Perks </v>
      </c>
      <c r="D8" s="53" t="s">
        <v>177</v>
      </c>
      <c r="E8" s="92">
        <v>6.9999999999999998E-9</v>
      </c>
      <c r="F8" s="93">
        <f t="shared" si="0"/>
        <v>1000.000000007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16.372</v>
      </c>
      <c r="L8" s="22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 t="str">
        <f t="shared" si="2"/>
        <v>nt</v>
      </c>
      <c r="V8" s="3" t="str">
        <f>IFERROR(VLOOKUP('Open 1'!F8,$AC$3:$AD$7,2,TRUE),"")</f>
        <v>4D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>
        <f>IFERROR(IF($V8=$Z$1,'Open 1'!F8,""),"")</f>
        <v>1000.000000007</v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25.2</v>
      </c>
      <c r="AR8" s="152">
        <f>HLOOKUP($J$11,$AL$4:$AP$9,5,TRUE)*AR$10</f>
        <v>21.6</v>
      </c>
      <c r="AS8" s="152">
        <f>HLOOKUP($J$11,$AL$4:$AP$9,5,TRUE)*AS$10</f>
        <v>14.4</v>
      </c>
      <c r="AT8" s="152">
        <f>HLOOKUP($J$11,$AL$4:$AP$9,5,TRUE)*AT$10</f>
        <v>10.8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Faren Bebeau </v>
      </c>
      <c r="C9" s="19" t="str">
        <f>IFERROR(Draw!C9,"")</f>
        <v xml:space="preserve">Flashing Silk </v>
      </c>
      <c r="D9" s="52">
        <v>14.837</v>
      </c>
      <c r="E9" s="92">
        <v>8.0000000000000005E-9</v>
      </c>
      <c r="F9" s="93">
        <f t="shared" si="0"/>
        <v>14.837000008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14.837</v>
      </c>
      <c r="V9" s="3" t="str">
        <f>IFERROR(VLOOKUP('Open 1'!F9,$AC$3:$AD$7,2,TRUE),"")</f>
        <v>1D</v>
      </c>
      <c r="W9" s="7">
        <f>IFERROR(IF(V9=$W$1,'Open 1'!F9,""),"")</f>
        <v>14.837000008</v>
      </c>
      <c r="X9" s="7" t="str">
        <f>IFERROR(IF(V9=$X$1,'Open 1'!F9,""),"")</f>
        <v/>
      </c>
      <c r="Y9" s="7" t="str">
        <f>IFERROR(IF(V9=$Y$1,'Open 1'!F9,""),"")</f>
        <v/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Carrie Dieters </v>
      </c>
      <c r="C10" s="19" t="str">
        <f>IFERROR(Draw!C10,"")</f>
        <v xml:space="preserve">Jackie's French Ice </v>
      </c>
      <c r="D10" s="51">
        <v>14.991</v>
      </c>
      <c r="E10" s="92">
        <v>8.9999999999999995E-9</v>
      </c>
      <c r="F10" s="93">
        <f t="shared" si="0"/>
        <v>14.991000009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29" t="s">
        <v>4</v>
      </c>
      <c r="M10" s="39" t="str">
        <f>'Open 1'!AD16</f>
        <v>1st</v>
      </c>
      <c r="N10" s="18" t="str">
        <f>'Open 1'!AE16</f>
        <v xml:space="preserve">Kamryn Chapman </v>
      </c>
      <c r="O10" s="18" t="str">
        <f>'Open 1'!AF16</f>
        <v xml:space="preserve">Firewater Marvel Ice </v>
      </c>
      <c r="P10" s="40">
        <f>'Open 1'!AG16</f>
        <v>14.938000001000001</v>
      </c>
      <c r="Q10" s="156">
        <f>AH16</f>
        <v>86.4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14.991</v>
      </c>
      <c r="V10" s="3" t="str">
        <f>IFERROR(VLOOKUP('Open 1'!F10,$AC$3:$AD$7,2,TRUE),"")</f>
        <v>2D</v>
      </c>
      <c r="W10" s="7" t="str">
        <f>IFERROR(IF(V10=$W$1,'Open 1'!F10,""),"")</f>
        <v/>
      </c>
      <c r="X10" s="7">
        <f>IFERROR(IF(V10=$X$1,'Open 1'!F10,""),"")</f>
        <v>14.991000009</v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32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Arabella Cook </v>
      </c>
      <c r="AF10" s="179" t="str">
        <f>IFERROR(INDEX('Open 1'!$B:$F,MATCH(AG10,'Open 1'!$F:$F,0),2),"-")</f>
        <v xml:space="preserve">Charge it to Serrina </v>
      </c>
      <c r="AG10" s="180">
        <f t="shared" ref="AG10:AG15" si="4">IFERROR(SMALL($W$2:$W$286,AI10),"-")</f>
        <v>14.372000002</v>
      </c>
      <c r="AH10" s="186">
        <f>IF(AQ5&gt;0,AQ5,"")</f>
        <v>100.8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251.99999999999997</v>
      </c>
      <c r="AR10" s="151">
        <f>IF($AO$11&lt;=75,AR2*$AO$13,AR3*$AO$13)</f>
        <v>216</v>
      </c>
      <c r="AS10" s="151">
        <f>IF($AO$11&lt;=75,AS2*$AO$13,AS3*$AO$13)</f>
        <v>144</v>
      </c>
      <c r="AT10" s="151">
        <f>IF($AO$11&lt;=75,AT2*$AO$13,AT3*$AO$13)</f>
        <v>108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Jamie Zuidema </v>
      </c>
      <c r="C11" s="19" t="str">
        <f>IFERROR(Draw!C11,"")</f>
        <v xml:space="preserve">Lucy </v>
      </c>
      <c r="D11" s="52">
        <v>915.346</v>
      </c>
      <c r="E11" s="92">
        <v>1E-8</v>
      </c>
      <c r="F11" s="93">
        <f t="shared" si="0"/>
        <v>915.34600001000001</v>
      </c>
      <c r="G11" s="62" t="str">
        <f>IF(A11="yco",VLOOKUP(_xlfn.CONCAT(B11,C11),Youth!S:T,2,FALSE),IF(OR(AND(D11&gt;1,D11&lt;1050),D11="nt",D11="",D11="scratch"),"","Not valid"))</f>
        <v/>
      </c>
      <c r="H11" s="224" t="s">
        <v>77</v>
      </c>
      <c r="I11" s="225"/>
      <c r="J11" s="189">
        <f>COUNTIF('Open 1'!$A$2:$A$286,"&gt;0")+COUNTIF('Open 1'!$A$2:$A$286,"yco")-COUNTIF($D$2:$D$286,"scratch")</f>
        <v>45</v>
      </c>
      <c r="K11" s="50">
        <v>2</v>
      </c>
      <c r="L11" s="230"/>
      <c r="M11" s="30" t="str">
        <f>IF($J$13&lt;"2","",IF(AD17="Tie","Tie",AD17))</f>
        <v>2nd</v>
      </c>
      <c r="N11" s="20" t="str">
        <f>IF(M11="","",'Open 1'!AE17)</f>
        <v xml:space="preserve">Carrie Dieters </v>
      </c>
      <c r="O11" s="20" t="str">
        <f>IF(N11="","",'Open 1'!AF17)</f>
        <v xml:space="preserve">Jackie's French Ice </v>
      </c>
      <c r="P11" s="41">
        <f>IF(O11="","",'Open 1'!AG17)</f>
        <v>14.991000009</v>
      </c>
      <c r="Q11" s="157">
        <f>AH17</f>
        <v>64.8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915.346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915.34600001000001</v>
      </c>
      <c r="AA11" s="7" t="str">
        <f>IFERROR(IF(V11=$AA$1,'Open 1'!F11,""),"")</f>
        <v/>
      </c>
      <c r="AB11" s="3" t="s">
        <v>21</v>
      </c>
      <c r="AC11" s="233"/>
      <c r="AD11" s="64" t="str">
        <f t="shared" si="3"/>
        <v>2nd</v>
      </c>
      <c r="AE11" s="64" t="str">
        <f>IFERROR(INDEX('Open 1'!B:F,MATCH(AG11,'Open 1'!$F:$F,0),1),"-")</f>
        <v xml:space="preserve">Alix VanderVoort </v>
      </c>
      <c r="AF11" s="64" t="str">
        <f>IFERROR(INDEX('Open 1'!$B:$F,MATCH(AG11,'Open 1'!$F:$F,0),2),"-")</f>
        <v xml:space="preserve">RC Whiskey N Roses </v>
      </c>
      <c r="AG11" s="7">
        <f t="shared" si="4"/>
        <v>14.48000004</v>
      </c>
      <c r="AH11" s="184">
        <f>IF(AQ6&gt;0,AQ6,"")</f>
        <v>75.599999999999994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4" t="s">
        <v>75</v>
      </c>
      <c r="AM11" s="234"/>
      <c r="AN11" s="234"/>
      <c r="AO11" s="17">
        <f>J11</f>
        <v>45</v>
      </c>
    </row>
    <row r="12" spans="1:50" ht="16.5" thickBot="1">
      <c r="A12" s="18">
        <f>IF(B12="","",Draw!A12)</f>
        <v>10</v>
      </c>
      <c r="B12" s="19" t="str">
        <f>IFERROR(Draw!B12,"")</f>
        <v xml:space="preserve">Margaret Miller </v>
      </c>
      <c r="C12" s="19" t="str">
        <f>IFERROR(Draw!C12,"")</f>
        <v xml:space="preserve">Seven </v>
      </c>
      <c r="D12" s="54">
        <v>18.760000000000002</v>
      </c>
      <c r="E12" s="92">
        <v>1.0999999999999999E-8</v>
      </c>
      <c r="F12" s="93">
        <f t="shared" si="0"/>
        <v>18.760000011000002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0"/>
      <c r="M12" s="30" t="str">
        <f>IF($J$13&lt;"3","",IF(AD18="Tie","Tie",AD18))</f>
        <v>3rd</v>
      </c>
      <c r="N12" s="20" t="str">
        <f>IF(M12="","",'Open 1'!AE18)</f>
        <v>Sydney Fuerst</v>
      </c>
      <c r="O12" s="20" t="str">
        <f>IF(N12="","",'Open 1'!AF18)</f>
        <v>Bay</v>
      </c>
      <c r="P12" s="41">
        <f>IF(O12="","",'Open 1'!AG18)</f>
        <v>15.051000054999999</v>
      </c>
      <c r="Q12" s="157">
        <f>AH18</f>
        <v>43.2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18.760000000000002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18.760000011000002</v>
      </c>
      <c r="AA12" s="7" t="str">
        <f>IFERROR(IF(V12=$AA$1,'Open 1'!F12,""),"")</f>
        <v/>
      </c>
      <c r="AB12" s="3" t="s">
        <v>24</v>
      </c>
      <c r="AC12" s="233"/>
      <c r="AD12" s="64" t="str">
        <f t="shared" si="3"/>
        <v>3rd</v>
      </c>
      <c r="AE12" s="64" t="str">
        <f>IFERROR(INDEX('Open 1'!B:F,MATCH(AG12,'Open 1'!$F:$F,0),1),"-")</f>
        <v xml:space="preserve">Sara Jo Lamb </v>
      </c>
      <c r="AF12" s="64" t="str">
        <f>IFERROR(INDEX('Open 1'!$B:$F,MATCH(AG12,'Open 1'!$F:$F,0),2),"-")</f>
        <v xml:space="preserve">Chance </v>
      </c>
      <c r="AG12" s="7">
        <f t="shared" si="4"/>
        <v>14.528000004000001</v>
      </c>
      <c r="AH12" s="184">
        <f>IF(AQ7&gt;0,AQ7,"")</f>
        <v>50.4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4" t="s">
        <v>76</v>
      </c>
      <c r="AM12" s="234"/>
      <c r="AN12" s="234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30"/>
      <c r="M13" s="30" t="str">
        <f>IF($J$13&lt;"4","",IF(AD19="Tie","Tie",AD19))</f>
        <v>4th</v>
      </c>
      <c r="N13" s="20" t="str">
        <f>IF(M13="","",'Open 1'!AE19)</f>
        <v xml:space="preserve">Kayla Papendick </v>
      </c>
      <c r="O13" s="20" t="str">
        <f>IF(N13="","",'Open 1'!AF19)</f>
        <v xml:space="preserve">Buddy </v>
      </c>
      <c r="P13" s="41">
        <f>IF(O13="","",'Open 1'!AG19)</f>
        <v>15.090000022</v>
      </c>
      <c r="Q13" s="157">
        <f>AH19</f>
        <v>21.6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3"/>
      <c r="AD13" s="64" t="str">
        <f t="shared" si="3"/>
        <v>4th</v>
      </c>
      <c r="AE13" s="64" t="str">
        <f>IFERROR(INDEX('Open 1'!B:F,MATCH(AG13,'Open 1'!$F:$F,0),1),"-")</f>
        <v>Laynie Schuler</v>
      </c>
      <c r="AF13" s="64" t="str">
        <f>IFERROR(INDEX('Open 1'!$B:$F,MATCH(AG13,'Open 1'!$F:$F,0),2),"-")</f>
        <v>Stolis Prissy Genes</v>
      </c>
      <c r="AG13" s="7">
        <f t="shared" si="4"/>
        <v>14.674000042999999</v>
      </c>
      <c r="AH13" s="184">
        <f>IF(AQ8&gt;0,AQ8,"")</f>
        <v>25.2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4" t="s">
        <v>79</v>
      </c>
      <c r="AM13" s="234"/>
      <c r="AN13" s="234"/>
      <c r="AO13" s="151">
        <f>(AO11*AO12)+J3</f>
        <v>720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Ashley Carlson </v>
      </c>
      <c r="C14" s="19" t="str">
        <f>IFERROR(Draw!C14,"")</f>
        <v xml:space="preserve">Chaser </v>
      </c>
      <c r="D14" s="51">
        <v>24.085000000000001</v>
      </c>
      <c r="E14" s="92">
        <v>1.3000000000000001E-8</v>
      </c>
      <c r="F14" s="93">
        <f t="shared" si="0"/>
        <v>24.085000013000002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24.085000000000001</v>
      </c>
      <c r="V14" s="3" t="str">
        <f>IFERROR(VLOOKUP('Open 1'!F14,$AC$3:$AD$7,2,TRUE),"")</f>
        <v>4D</v>
      </c>
      <c r="W14" s="7" t="str">
        <f>IFERROR(IF(V14=$W$1,'Open 1'!F14,""),"")</f>
        <v/>
      </c>
      <c r="X14" s="7" t="str">
        <f>IFERROR(IF(V14=$X$1,'Open 1'!F14,""),"")</f>
        <v/>
      </c>
      <c r="Y14" s="7" t="str">
        <f>IFERROR(IF(V14=$Y$1,'Open 1'!F14,""),"")</f>
        <v/>
      </c>
      <c r="Z14" s="7">
        <f>IFERROR(IF($V14=$Z$1,'Open 1'!F14,""),"")</f>
        <v>24.085000013000002</v>
      </c>
      <c r="AA14" s="7" t="str">
        <f>IFERROR(IF(V14=$AA$1,'Open 1'!F14,""),"")</f>
        <v/>
      </c>
      <c r="AB14" s="3" t="s">
        <v>26</v>
      </c>
      <c r="AC14" s="233"/>
      <c r="AD14" s="64" t="str">
        <f t="shared" si="3"/>
        <v>5th</v>
      </c>
      <c r="AE14" s="64" t="str">
        <f>IFERROR(INDEX('Open 1'!B:F,MATCH(AG14,'Open 1'!$F:$F,0),1),"-")</f>
        <v xml:space="preserve">Stella Schuler </v>
      </c>
      <c r="AF14" s="64" t="str">
        <f>IFERROR(INDEX('Open 1'!$B:$F,MATCH(AG14,'Open 1'!$F:$F,0),2),"-")</f>
        <v>RCK Guys Mabelline</v>
      </c>
      <c r="AG14" s="7">
        <f t="shared" si="4"/>
        <v>14.728000045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4" t="s">
        <v>10</v>
      </c>
      <c r="AM14" s="234"/>
      <c r="AN14" s="234"/>
      <c r="AO14" s="151">
        <f>AO13*AV3</f>
        <v>720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Sandy Highland </v>
      </c>
      <c r="C15" s="19" t="str">
        <f>IFERROR(Draw!C15,"")</f>
        <v xml:space="preserve">Bonita </v>
      </c>
      <c r="D15" s="56">
        <v>15.61</v>
      </c>
      <c r="E15" s="92">
        <v>1.4E-8</v>
      </c>
      <c r="F15" s="93">
        <f t="shared" si="0"/>
        <v>15.610000013999999</v>
      </c>
      <c r="G15" s="62" t="str">
        <f>IF(A15="yco",VLOOKUP(_xlfn.CONCAT(B15,C15),Youth!S:T,2,FALSE),IF(OR(AND(D15&gt;1,D15&lt;1050),D15="nt",D15="",D15="scratch"),"","Not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15.61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15.610000013999999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 xml:space="preserve">Faren Bebeau </v>
      </c>
      <c r="AF15" s="64" t="str">
        <f>IFERROR(INDEX('Open 1'!$B:$F,MATCH(AG15,'Open 1'!$F:$F,0),2),"-")</f>
        <v xml:space="preserve">Flashing Silk </v>
      </c>
      <c r="AG15" s="7">
        <f t="shared" si="4"/>
        <v>14.837000008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Jessica Mueller </v>
      </c>
      <c r="C16" s="19" t="str">
        <f>IFERROR(Draw!C16,"")</f>
        <v xml:space="preserve">MFR Laughing Xena </v>
      </c>
      <c r="D16" s="57">
        <v>15.454000000000001</v>
      </c>
      <c r="E16" s="92">
        <v>1.4999999999999999E-8</v>
      </c>
      <c r="F16" s="93">
        <f t="shared" si="0"/>
        <v>15.454000015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'Open 1'!AD22</f>
        <v>1st</v>
      </c>
      <c r="N16" s="18" t="str">
        <f>'Open 1'!AE22</f>
        <v xml:space="preserve">Kristine DeBerg </v>
      </c>
      <c r="O16" s="18" t="str">
        <f>'Open 1'!AF22</f>
        <v xml:space="preserve">Jessfrostmycake </v>
      </c>
      <c r="P16" s="40">
        <f>'Open 1'!AG22</f>
        <v>15.379000003</v>
      </c>
      <c r="Q16" s="156">
        <f>AH22</f>
        <v>57.6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15.454000000000001</v>
      </c>
      <c r="V16" s="3" t="str">
        <f>IFERROR(VLOOKUP('Open 1'!F16,$AC$3:$AD$7,2,TRUE),"")</f>
        <v>3D</v>
      </c>
      <c r="W16" s="7" t="str">
        <f>IFERROR(IF(V16=$W$1,'Open 1'!F16,""),"")</f>
        <v/>
      </c>
      <c r="X16" s="7" t="str">
        <f>IFERROR(IF(V16=$X$1,'Open 1'!F16,""),"")</f>
        <v/>
      </c>
      <c r="Y16" s="7">
        <f>IFERROR(IF(V16=$Y$1,'Open 1'!F16,""),"")</f>
        <v>15.454000015</v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33" t="s">
        <v>4</v>
      </c>
      <c r="AD16" s="64" t="str">
        <f t="shared" si="3"/>
        <v>1st</v>
      </c>
      <c r="AE16" s="16" t="str">
        <f>IFERROR(INDEX('Open 1'!B:F,MATCH(AG16,'Open 1'!F:F,0),1),"-")</f>
        <v xml:space="preserve">Kamryn Chapman </v>
      </c>
      <c r="AF16" s="16" t="str">
        <f>IFERROR(INDEX('Open 1'!B:F,MATCH(AG16,'Open 1'!F:F,0),2),"-")</f>
        <v xml:space="preserve">Firewater Marvel Ice </v>
      </c>
      <c r="AG16" s="4">
        <f t="shared" ref="AG16:AG21" si="5">IFERROR(SMALL($X$2:$X$286,AI16),"-")</f>
        <v>14.938000001000001</v>
      </c>
      <c r="AH16" s="185">
        <f>IF(AR5&gt;0,AR5,"")</f>
        <v>86.4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>Katie Novak</v>
      </c>
      <c r="C17" s="19" t="str">
        <f>IFERROR(Draw!C17,"")</f>
        <v>Lynx</v>
      </c>
      <c r="D17" s="52">
        <v>929.09299999999996</v>
      </c>
      <c r="E17" s="92">
        <v>1.6000000000000001E-8</v>
      </c>
      <c r="F17" s="93">
        <f t="shared" si="0"/>
        <v>929.09300001599991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IF($J$13&lt;"2","",IF(AD23="Tie","Tie",AD23))</f>
        <v>2nd</v>
      </c>
      <c r="N17" s="20" t="str">
        <f>IF(M17="","",'Open 1'!AE23)</f>
        <v xml:space="preserve">Jessica Mueller </v>
      </c>
      <c r="O17" s="20" t="str">
        <f>IF(N17="","",'Open 1'!AF23)</f>
        <v xml:space="preserve">MFR Laughing Xena </v>
      </c>
      <c r="P17" s="41">
        <f>IF(O17="","",'Open 1'!AG23)</f>
        <v>15.454000015</v>
      </c>
      <c r="Q17" s="157">
        <f>AH23</f>
        <v>43.199999999999996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929.09299999999996</v>
      </c>
      <c r="V17" s="3" t="str">
        <f>IFERROR(VLOOKUP('Open 1'!F17,$AC$3:$AD$7,2,TRUE),"")</f>
        <v>4D</v>
      </c>
      <c r="W17" s="7" t="str">
        <f>IFERROR(IF(V17=$W$1,'Open 1'!F17,""),"")</f>
        <v/>
      </c>
      <c r="X17" s="7" t="str">
        <f>IFERROR(IF(V17=$X$1,'Open 1'!F17,""),"")</f>
        <v/>
      </c>
      <c r="Y17" s="7" t="str">
        <f>IFERROR(IF(V17=$Y$1,'Open 1'!F17,""),"")</f>
        <v/>
      </c>
      <c r="Z17" s="7">
        <f>IFERROR(IF($V17=$Z$1,'Open 1'!F17,""),"")</f>
        <v>929.09300001599991</v>
      </c>
      <c r="AA17" s="7" t="str">
        <f>IFERROR(IF(V17=$AA$1,'Open 1'!F17,""),"")</f>
        <v/>
      </c>
      <c r="AB17" s="3" t="s">
        <v>21</v>
      </c>
      <c r="AC17" s="233"/>
      <c r="AD17" s="64" t="str">
        <f t="shared" si="3"/>
        <v>2nd</v>
      </c>
      <c r="AE17" s="16" t="str">
        <f>IFERROR(INDEX('Open 1'!B:F,MATCH(AG17,'Open 1'!F:F,0),1),"-")</f>
        <v xml:space="preserve">Carrie Dieters </v>
      </c>
      <c r="AF17" s="16" t="str">
        <f>IFERROR(INDEX('Open 1'!B:F,MATCH(AG17,'Open 1'!F:F,0),2),"-")</f>
        <v xml:space="preserve">Jackie's French Ice </v>
      </c>
      <c r="AG17" s="4">
        <f t="shared" si="5"/>
        <v>14.991000009</v>
      </c>
      <c r="AH17" s="185">
        <f>IF(AR6&gt;0,AR6,"")</f>
        <v>64.8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Pam Vankektrix </v>
      </c>
      <c r="C18" s="19" t="str">
        <f>IFERROR(Draw!C18,"")</f>
        <v xml:space="preserve">JPS KAS IM Stylish </v>
      </c>
      <c r="D18" s="53">
        <v>16.334</v>
      </c>
      <c r="E18" s="92">
        <v>1.7E-8</v>
      </c>
      <c r="F18" s="93">
        <f t="shared" si="0"/>
        <v>16.334000017000001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IF($J$13&lt;"3","",IF(AD24="Tie","Tie",AD24))</f>
        <v>3rd</v>
      </c>
      <c r="N18" s="20" t="str">
        <f>IF(M18="","",'Open 1'!AE24)</f>
        <v xml:space="preserve">Sandy Highland </v>
      </c>
      <c r="O18" s="20" t="str">
        <f>IF(N18="","",'Open 1'!AF24)</f>
        <v xml:space="preserve">Bonita </v>
      </c>
      <c r="P18" s="41">
        <f>IF(O18="","",'Open 1'!AG24)</f>
        <v>15.610000013999999</v>
      </c>
      <c r="Q18" s="157">
        <f>AH24</f>
        <v>28.8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16.334</v>
      </c>
      <c r="V18" s="3" t="str">
        <f>IFERROR(VLOOKUP('Open 1'!F18,$AC$3:$AD$7,2,TRUE),"")</f>
        <v>3D</v>
      </c>
      <c r="W18" s="7" t="str">
        <f>IFERROR(IF(V18=$W$1,'Open 1'!F18,""),"")</f>
        <v/>
      </c>
      <c r="X18" s="7" t="str">
        <f>IFERROR(IF(V18=$X$1,'Open 1'!F18,""),"")</f>
        <v/>
      </c>
      <c r="Y18" s="7">
        <f>IFERROR(IF(V18=$Y$1,'Open 1'!F18,""),"")</f>
        <v>16.334000017000001</v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33"/>
      <c r="AD18" s="64" t="str">
        <f t="shared" si="3"/>
        <v>3rd</v>
      </c>
      <c r="AE18" s="16" t="str">
        <f>IFERROR(INDEX('Open 1'!B:F,MATCH(AG18,'Open 1'!F:F,0),1),"-")</f>
        <v>Sydney Fuerst</v>
      </c>
      <c r="AF18" s="16" t="str">
        <f>IFERROR(INDEX('Open 1'!B:F,MATCH(AG18,'Open 1'!F:F,0),2),"-")</f>
        <v>Bay</v>
      </c>
      <c r="AG18" s="4">
        <f t="shared" si="5"/>
        <v>15.051000054999999</v>
      </c>
      <c r="AH18" s="185">
        <f>IF(AR7&gt;0,AR7,"")</f>
        <v>43.2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2"/>
      <c r="M19" s="30" t="str">
        <f>IF($J$13&lt;"4","",IF(AD25="Tie","Tie",AD25))</f>
        <v>4th</v>
      </c>
      <c r="N19" s="20" t="str">
        <f>IF(M19="","",'Open 1'!AE25)</f>
        <v>Taya Skiles</v>
      </c>
      <c r="O19" s="20" t="str">
        <f>IF(N19="","",'Open 1'!AF25)</f>
        <v>Bart's Dixie Pride</v>
      </c>
      <c r="P19" s="41">
        <f>IF(O19="","",'Open 1'!AG25)</f>
        <v>15.977000047000001</v>
      </c>
      <c r="Q19" s="157">
        <f>AH25</f>
        <v>14.4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3"/>
      <c r="AD19" s="64" t="str">
        <f t="shared" si="3"/>
        <v>4th</v>
      </c>
      <c r="AE19" s="16" t="str">
        <f>IFERROR(INDEX('Open 1'!B:F,MATCH(AG19,'Open 1'!F:F,0),1),"-")</f>
        <v xml:space="preserve">Kayla Papendick </v>
      </c>
      <c r="AF19" s="16" t="str">
        <f>IFERROR(INDEX('Open 1'!B:F,MATCH(AG19,'Open 1'!F:F,0),2),"-")</f>
        <v xml:space="preserve">Buddy </v>
      </c>
      <c r="AG19" s="4">
        <f t="shared" si="5"/>
        <v>15.090000022</v>
      </c>
      <c r="AH19" s="185">
        <f>IF(AR8&gt;0,AR8,"")</f>
        <v>21.6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Jozlyn Anderson   </v>
      </c>
      <c r="C20" s="19" t="str">
        <f>IFERROR(Draw!C20,"")</f>
        <v xml:space="preserve">Jack the Money </v>
      </c>
      <c r="D20" s="51">
        <v>16.247</v>
      </c>
      <c r="E20" s="92">
        <v>1.9000000000000001E-8</v>
      </c>
      <c r="F20" s="93">
        <f t="shared" si="0"/>
        <v>16.247000019000001</v>
      </c>
      <c r="G20" s="62" t="str">
        <f>IF(A20="yco",VLOOKUP(_xlfn.CONCAT(B20,C20),Youth!S:T,2,FALSE),IF(OR(AND(D20&gt;1,D20&lt;1050),D20="nt",D20="",D20="scratch"),"","Not valid"))</f>
        <v/>
      </c>
      <c r="L20" s="243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16.247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16.247000019000001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33"/>
      <c r="AD20" s="64" t="str">
        <f t="shared" si="3"/>
        <v>5th</v>
      </c>
      <c r="AE20" s="16" t="str">
        <f>IFERROR(INDEX('Open 1'!B:F,MATCH(AG20,'Open 1'!F:F,0),1),"-")</f>
        <v>Laynie Schuler</v>
      </c>
      <c r="AF20" s="16" t="str">
        <f>IFERROR(INDEX('Open 1'!B:F,MATCH(AG20,'Open 1'!F:F,0),2),"-")</f>
        <v>Flit N Ice</v>
      </c>
      <c r="AG20" s="4">
        <f t="shared" si="5"/>
        <v>15.112000052000001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Keenan Lenzen </v>
      </c>
      <c r="C21" s="19" t="str">
        <f>IFERROR(Draw!C21,"")</f>
        <v xml:space="preserve">Reno </v>
      </c>
      <c r="D21" s="52">
        <v>915.84900000000005</v>
      </c>
      <c r="E21" s="92">
        <v>2E-8</v>
      </c>
      <c r="F21" s="93">
        <f t="shared" si="0"/>
        <v>915.84900002000006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915.84900000000005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915.84900002000006</v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Kara Martin </v>
      </c>
      <c r="AF21" s="16" t="str">
        <f>IFERROR(INDEX('Open 1'!B:F,MATCH(AG21,'Open 1'!F:F,0),2),"-")</f>
        <v xml:space="preserve">TQH Smart Ransome </v>
      </c>
      <c r="AG21" s="4">
        <f t="shared" si="5"/>
        <v>15.122000027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Josey Booth </v>
      </c>
      <c r="C22" s="19" t="str">
        <f>IFERROR(Draw!C22,"")</f>
        <v xml:space="preserve">Sweet Red Bobby Sox </v>
      </c>
      <c r="D22" s="52">
        <v>915.54200000000003</v>
      </c>
      <c r="E22" s="92">
        <v>2.0999999999999999E-8</v>
      </c>
      <c r="F22" s="93">
        <f t="shared" si="0"/>
        <v>915.54200002100004</v>
      </c>
      <c r="G22" s="62" t="str">
        <f>IF(A22="yco",VLOOKUP(_xlfn.CONCAT(B22,C22),Youth!S:T,2,FALSE),IF(OR(AND(D22&gt;1,D22&lt;1050),D22="nt",D22="",D22="scratch"),"","Not valid"))</f>
        <v/>
      </c>
      <c r="I22" s="50"/>
      <c r="L22" s="244" t="s">
        <v>6</v>
      </c>
      <c r="M22" s="39" t="str">
        <f>'Open 1'!AD28</f>
        <v>1st</v>
      </c>
      <c r="N22" s="18" t="str">
        <f>'Open 1'!AE28</f>
        <v>Reagan Sperry</v>
      </c>
      <c r="O22" s="18" t="str">
        <f>'Open 1'!AF28</f>
        <v>CD Jettin French Money</v>
      </c>
      <c r="P22" s="40">
        <f>'Open 1'!AG28</f>
        <v>16.444000051</v>
      </c>
      <c r="Q22" s="157">
        <f>IF(AH28&lt;=0,"",AH28)</f>
        <v>43.2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915.54200000000003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915.54200002100004</v>
      </c>
      <c r="AA22" s="7" t="str">
        <f>IFERROR(IF(V22=$AA$1,'Open 1'!F22,""),"")</f>
        <v/>
      </c>
      <c r="AB22" s="3" t="s">
        <v>20</v>
      </c>
      <c r="AC22" s="233" t="s">
        <v>5</v>
      </c>
      <c r="AD22" s="64" t="str">
        <f t="shared" si="3"/>
        <v>1st</v>
      </c>
      <c r="AE22" s="16" t="str">
        <f>IFERROR(INDEX('Open 1'!B:F,MATCH(AG22,'Open 1'!F:F,0),1),"-")</f>
        <v xml:space="preserve">Kristine DeBerg </v>
      </c>
      <c r="AF22" s="16" t="str">
        <f>IFERROR(INDEX('Open 1'!B:F,MATCH(AG22,'Open 1'!F:F,0),2),"-")</f>
        <v xml:space="preserve">Jessfrostmycake </v>
      </c>
      <c r="AG22" s="4">
        <f t="shared" ref="AG22:AG27" si="6">IFERROR(SMALL($Y$2:$Y$286,AI22),"-")</f>
        <v>15.379000003</v>
      </c>
      <c r="AH22" s="185">
        <f>IF(AS5&gt;0,AS5,"")</f>
        <v>57.6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Kayla Papendick </v>
      </c>
      <c r="C23" s="19" t="str">
        <f>IFERROR(Draw!C23,"")</f>
        <v xml:space="preserve">Buddy </v>
      </c>
      <c r="D23" s="52">
        <v>15.09</v>
      </c>
      <c r="E23" s="92">
        <v>2.1999999999999998E-8</v>
      </c>
      <c r="F23" s="93">
        <f t="shared" si="0"/>
        <v>15.090000022</v>
      </c>
      <c r="G23" s="62" t="str">
        <f>IF(A23="yco",VLOOKUP(_xlfn.CONCAT(B23,C23),Youth!S:T,2,FALSE),IF(OR(AND(D23&gt;1,D23&lt;1050),D23="nt",D23="",D23="scratch"),"","Not valid"))</f>
        <v/>
      </c>
      <c r="I23" s="49"/>
      <c r="L23" s="245"/>
      <c r="M23" s="30" t="str">
        <f>IF($J$13&lt;"2","",IF(AD29="Tie","Tie",AD29))</f>
        <v>2nd</v>
      </c>
      <c r="N23" s="20" t="str">
        <f>IF(M23="","",'Open 1'!AE29)</f>
        <v xml:space="preserve">Maggie Noonan </v>
      </c>
      <c r="O23" s="20" t="str">
        <f>IF(N23="","",'Open 1'!AF29)</f>
        <v xml:space="preserve">Chief </v>
      </c>
      <c r="P23" s="41">
        <f>IF(O23="","",'Open 1'!AG29)</f>
        <v>16.605000027999999</v>
      </c>
      <c r="Q23" s="157">
        <f>IF(AH29&lt;=0,"",AH29)</f>
        <v>32.4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15.09</v>
      </c>
      <c r="V23" s="3" t="str">
        <f>IFERROR(VLOOKUP('Open 1'!F23,$AC$3:$AD$7,2,TRUE),"")</f>
        <v>2D</v>
      </c>
      <c r="W23" s="7" t="str">
        <f>IFERROR(IF(V23=$W$1,'Open 1'!F23,""),"")</f>
        <v/>
      </c>
      <c r="X23" s="7">
        <f>IFERROR(IF(V23=$X$1,'Open 1'!F23,""),"")</f>
        <v>15.090000022</v>
      </c>
      <c r="Y23" s="7" t="str">
        <f>IFERROR(IF(V23=$Y$1,'Open 1'!F23,""),"")</f>
        <v/>
      </c>
      <c r="Z23" s="7" t="str">
        <f>IFERROR(IF($V23=$Z$1,'Open 1'!F23,""),"")</f>
        <v/>
      </c>
      <c r="AA23" s="7" t="str">
        <f>IFERROR(IF(V23=$AA$1,'Open 1'!F23,""),"")</f>
        <v/>
      </c>
      <c r="AB23" s="3" t="s">
        <v>21</v>
      </c>
      <c r="AC23" s="233"/>
      <c r="AD23" s="64" t="str">
        <f t="shared" si="3"/>
        <v>2nd</v>
      </c>
      <c r="AE23" s="16" t="str">
        <f>IFERROR(INDEX('Open 1'!B:F,MATCH(AG23,'Open 1'!F:F,0),1),"-")</f>
        <v xml:space="preserve">Jessica Mueller </v>
      </c>
      <c r="AF23" s="16" t="str">
        <f>IFERROR(INDEX('Open 1'!B:F,MATCH(AG23,'Open 1'!F:F,0),2),"-")</f>
        <v xml:space="preserve">MFR Laughing Xena </v>
      </c>
      <c r="AG23" s="4">
        <f t="shared" si="6"/>
        <v>15.454000015</v>
      </c>
      <c r="AH23" s="185">
        <f>IF(AS6&gt;0,AS6,"")</f>
        <v>43.199999999999996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Ronna Pinney </v>
      </c>
      <c r="C24" s="19" t="str">
        <f>IFERROR(Draw!C24,"")</f>
        <v xml:space="preserve">SP Streaknfreaknfast </v>
      </c>
      <c r="D24" s="54">
        <v>19.713000000000001</v>
      </c>
      <c r="E24" s="92">
        <v>2.3000000000000001E-8</v>
      </c>
      <c r="F24" s="93">
        <f t="shared" si="0"/>
        <v>19.713000022999999</v>
      </c>
      <c r="G24" s="62" t="str">
        <f>IF(A24="yco",VLOOKUP(_xlfn.CONCAT(B24,C24),Youth!S:T,2,FALSE),IF(OR(AND(D24&gt;1,D24&lt;1050),D24="nt",D24="",D24="scratch"),"","Not valid"))</f>
        <v/>
      </c>
      <c r="L24" s="245"/>
      <c r="M24" s="30" t="str">
        <f>IF($J$13&lt;"3","",IF(AD30="Tie","Tie",AD30))</f>
        <v>3rd</v>
      </c>
      <c r="N24" s="20" t="str">
        <f>IF(M24="","",'Open 1'!AE30)</f>
        <v xml:space="preserve">Faren Bebeau </v>
      </c>
      <c r="O24" s="20" t="str">
        <f>IF(N24="","",'Open 1'!AF30)</f>
        <v xml:space="preserve">Salina's Sudden Fame </v>
      </c>
      <c r="P24" s="41">
        <f>IF(O24="","",'Open 1'!AG30)</f>
        <v>16.623000035</v>
      </c>
      <c r="Q24" s="157">
        <f>IF(AH30&lt;=0,"",AH30)</f>
        <v>21.6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19.713000000000001</v>
      </c>
      <c r="V24" s="3" t="str">
        <f>IFERROR(VLOOKUP('Open 1'!F24,$AC$3:$AD$7,2,TRUE),"")</f>
        <v>4D</v>
      </c>
      <c r="W24" s="7" t="str">
        <f>IFERROR(IF(V24=$W$1,'Open 1'!F24,""),"")</f>
        <v/>
      </c>
      <c r="X24" s="7" t="str">
        <f>IFERROR(IF(V24=$X$1,'Open 1'!F24,""),"")</f>
        <v/>
      </c>
      <c r="Y24" s="7" t="str">
        <f>IFERROR(IF(V24=$Y$1,'Open 1'!F24,""),"")</f>
        <v/>
      </c>
      <c r="Z24" s="7">
        <f>IFERROR(IF($V24=$Z$1,'Open 1'!F24,""),"")</f>
        <v>19.713000022999999</v>
      </c>
      <c r="AA24" s="7" t="str">
        <f>IFERROR(IF(V24=$AA$1,'Open 1'!F24,""),"")</f>
        <v/>
      </c>
      <c r="AB24" s="3" t="s">
        <v>24</v>
      </c>
      <c r="AC24" s="233"/>
      <c r="AD24" s="64" t="str">
        <f t="shared" si="3"/>
        <v>3rd</v>
      </c>
      <c r="AE24" s="16" t="str">
        <f>IFERROR(INDEX('Open 1'!B:F,MATCH(AG24,'Open 1'!F:F,0),1),"-")</f>
        <v xml:space="preserve">Sandy Highland </v>
      </c>
      <c r="AF24" s="16" t="str">
        <f>IFERROR(INDEX('Open 1'!B:F,MATCH(AG24,'Open 1'!F:F,0),2),"-")</f>
        <v xml:space="preserve">Bonita </v>
      </c>
      <c r="AG24" s="4">
        <f t="shared" si="6"/>
        <v>15.610000013999999</v>
      </c>
      <c r="AH24" s="185">
        <f>IF(AS7&gt;0,AS7,"")</f>
        <v>28.8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5"/>
      <c r="M25" s="30" t="str">
        <f>IF($J$13&lt;"4","",IF(AD31="Tie","Tie",AD31))</f>
        <v>4th</v>
      </c>
      <c r="N25" s="20" t="str">
        <f>IF(M25="","",'Open 1'!AE31)</f>
        <v xml:space="preserve">Keenan Lenzen </v>
      </c>
      <c r="O25" s="20" t="str">
        <f>IF(N25="","",'Open 1'!AF31)</f>
        <v>Dasher</v>
      </c>
      <c r="P25" s="41">
        <f>IF(O25="","",'Open 1'!AG31)</f>
        <v>16.890000046000001</v>
      </c>
      <c r="Q25" s="157">
        <f>IF(AH31&lt;=0,"",AH31)</f>
        <v>10.8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3"/>
      <c r="AD25" s="64" t="str">
        <f t="shared" si="3"/>
        <v>4th</v>
      </c>
      <c r="AE25" s="16" t="str">
        <f>IFERROR(INDEX('Open 1'!B:F,MATCH(AG25,'Open 1'!F:F,0),1),"-")</f>
        <v>Taya Skiles</v>
      </c>
      <c r="AF25" s="16" t="str">
        <f>IFERROR(INDEX('Open 1'!B:F,MATCH(AG25,'Open 1'!F:F,0),2),"-")</f>
        <v>Bart's Dixie Pride</v>
      </c>
      <c r="AG25" s="4">
        <f t="shared" si="6"/>
        <v>15.977000047000001</v>
      </c>
      <c r="AH25" s="185">
        <f>IF(AS8&gt;0,AS8,"")</f>
        <v>14.4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Livya Braskamp </v>
      </c>
      <c r="C26" s="19" t="str">
        <f>IFERROR(Draw!C26,"")</f>
        <v xml:space="preserve">Firefly </v>
      </c>
      <c r="D26" s="143">
        <v>916.11900000000003</v>
      </c>
      <c r="E26" s="92">
        <v>2.4999999999999999E-8</v>
      </c>
      <c r="F26" s="93">
        <f t="shared" si="0"/>
        <v>916.11900002499999</v>
      </c>
      <c r="G26" s="62" t="str">
        <f>IF(A26="yco",VLOOKUP(_xlfn.CONCAT(B26,C26),Youth!S:T,2,FALSE),IF(OR(AND(D26&gt;1,D26&lt;1050),D26="nt",D26="",D26="scratch"),"","Not valid"))</f>
        <v/>
      </c>
      <c r="L26" s="246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916.11900000000003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916.11900002499999</v>
      </c>
      <c r="AA26" s="7" t="str">
        <f>IFERROR(IF(V26=$AA$1,'Open 1'!F26,""),"")</f>
        <v/>
      </c>
      <c r="AB26" s="3" t="s">
        <v>26</v>
      </c>
      <c r="AC26" s="233"/>
      <c r="AD26" s="64" t="str">
        <f t="shared" si="3"/>
        <v>5th</v>
      </c>
      <c r="AE26" s="16" t="str">
        <f>IFERROR(INDEX('Open 1'!B:F,MATCH(AG26,'Open 1'!F:F,0),1),"-")</f>
        <v>Katie Novak</v>
      </c>
      <c r="AF26" s="16" t="str">
        <f>IFERROR(INDEX('Open 1'!B:F,MATCH(AG26,'Open 1'!F:F,0),2),"-")</f>
        <v>Keeper</v>
      </c>
      <c r="AG26" s="4">
        <f t="shared" si="6"/>
        <v>15.989000044000001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Becca Cowan </v>
      </c>
      <c r="C27" s="19" t="str">
        <f>IFERROR(Draw!C27,"")</f>
        <v xml:space="preserve">Fire </v>
      </c>
      <c r="D27" s="52">
        <v>915.02300000000002</v>
      </c>
      <c r="E27" s="92">
        <v>2.6000000000000001E-8</v>
      </c>
      <c r="F27" s="93">
        <f t="shared" si="0"/>
        <v>915.02300002599998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915.02300000000002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915.02300002599998</v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Jozlyn Anderson   </v>
      </c>
      <c r="AF27" s="16" t="str">
        <f>IFERROR(INDEX('Open 1'!B:F,MATCH(AG27,'Open 1'!F:F,0),2),"-")</f>
        <v xml:space="preserve">Jack the Money </v>
      </c>
      <c r="AG27" s="4">
        <f t="shared" si="6"/>
        <v>16.247000019000001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Kara Martin </v>
      </c>
      <c r="C28" s="19" t="str">
        <f>IFERROR(Draw!C28,"")</f>
        <v xml:space="preserve">TQH Smart Ransome </v>
      </c>
      <c r="D28" s="51">
        <v>15.122</v>
      </c>
      <c r="E28" s="92">
        <v>2.7E-8</v>
      </c>
      <c r="F28" s="93">
        <f t="shared" si="0"/>
        <v>15.122000027</v>
      </c>
      <c r="G28" s="62" t="str">
        <f>IF(A28="yco",VLOOKUP(_xlfn.CONCAT(B28,C28),Youth!S:T,2,FALSE),IF(OR(AND(D28&gt;1,D28&lt;1050),D28="nt",D28="",D28="scratch"),"","Not valid"))</f>
        <v/>
      </c>
      <c r="L28" s="235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15.122</v>
      </c>
      <c r="V28" s="3" t="str">
        <f>IFERROR(VLOOKUP('Open 1'!F28,$AC$3:$AD$7,2,TRUE),"")</f>
        <v>2D</v>
      </c>
      <c r="W28" s="7" t="str">
        <f>IFERROR(IF(V28=$W$1,'Open 1'!F28,""),"")</f>
        <v/>
      </c>
      <c r="X28" s="7">
        <f>IFERROR(IF(V28=$X$1,'Open 1'!F28,""),"")</f>
        <v>15.122000027</v>
      </c>
      <c r="Y28" s="7" t="str">
        <f>IFERROR(IF(V28=$Y$1,'Open 1'!F28,""),"")</f>
        <v/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33" t="s">
        <v>6</v>
      </c>
      <c r="AD28" s="64" t="str">
        <f t="shared" si="3"/>
        <v>1st</v>
      </c>
      <c r="AE28" s="16" t="str">
        <f>IFERROR(INDEX('Open 1'!B:F,MATCH(AG28,'Open 1'!F:F,0),1),"-")</f>
        <v>Reagan Sperry</v>
      </c>
      <c r="AF28" s="16" t="str">
        <f>IFERROR(INDEX('Open 1'!B:F,MATCH(AG28,'Open 1'!F:F,0),2),"-")</f>
        <v>CD Jettin French Money</v>
      </c>
      <c r="AG28" s="4">
        <f t="shared" ref="AG28:AG33" si="7">IFERROR(IF(SMALL($Z$2:$Z$286,AI28)&lt;900,SMALL($Z$2:$Z$286,AI28),"-"),"-")</f>
        <v>16.444000051</v>
      </c>
      <c r="AH28" s="185">
        <f>IF(AT5&gt;0,AT5,"")</f>
        <v>43.2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Maggie Noonan </v>
      </c>
      <c r="C29" s="19" t="str">
        <f>IFERROR(Draw!C29,"")</f>
        <v xml:space="preserve">Chief </v>
      </c>
      <c r="D29" s="52">
        <v>16.605</v>
      </c>
      <c r="E29" s="92">
        <v>2.7999999999999999E-8</v>
      </c>
      <c r="F29" s="93">
        <f t="shared" si="0"/>
        <v>16.605000027999999</v>
      </c>
      <c r="G29" s="62" t="str">
        <f>IF(A29="yco",VLOOKUP(_xlfn.CONCAT(B29,C29),Youth!S:T,2,FALSE),IF(OR(AND(D29&gt;1,D29&lt;1050),D29="nt",D29="",D29="scratch"),"","Not valid"))</f>
        <v/>
      </c>
      <c r="L29" s="236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16.605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16.605000027999999</v>
      </c>
      <c r="AA29" s="7" t="str">
        <f>IFERROR(IF(V29=$AA$1,'Open 1'!F29,""),"")</f>
        <v/>
      </c>
      <c r="AB29" s="3" t="s">
        <v>21</v>
      </c>
      <c r="AC29" s="233"/>
      <c r="AD29" s="64" t="str">
        <f t="shared" si="3"/>
        <v>2nd</v>
      </c>
      <c r="AE29" s="16" t="str">
        <f>IFERROR(INDEX('Open 1'!B:F,MATCH(AG29,'Open 1'!F:F,0),1),"-")</f>
        <v xml:space="preserve">Maggie Noonan </v>
      </c>
      <c r="AF29" s="16" t="str">
        <f>IFERROR(INDEX('Open 1'!B:F,MATCH(AG29,'Open 1'!F:F,0),2),"-")</f>
        <v xml:space="preserve">Chief </v>
      </c>
      <c r="AG29" s="4">
        <f t="shared" si="7"/>
        <v>16.605000027999999</v>
      </c>
      <c r="AH29" s="185">
        <f>IF(AT6&gt;0,AT6,"")</f>
        <v>32.4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Laura Roelfs </v>
      </c>
      <c r="C30" s="19" t="str">
        <f>IFERROR(Draw!C30,"")</f>
        <v xml:space="preserve">CheckCashinConway </v>
      </c>
      <c r="D30" s="54">
        <v>916.74699999999996</v>
      </c>
      <c r="E30" s="92">
        <v>2.9000000000000002E-8</v>
      </c>
      <c r="F30" s="93">
        <f t="shared" si="0"/>
        <v>916.74700002899999</v>
      </c>
      <c r="G30" s="62" t="str">
        <f>IF(A30="yco",VLOOKUP(_xlfn.CONCAT(B30,C30),Youth!S:T,2,FALSE),IF(OR(AND(D30&gt;1,D30&lt;1050),D30="nt",D30="",D30="scratch"),"","Not valid"))</f>
        <v/>
      </c>
      <c r="L30" s="236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916.74699999999996</v>
      </c>
      <c r="V30" s="3" t="str">
        <f>IFERROR(VLOOKUP('Open 1'!F30,$AC$3:$AD$7,2,TRUE),"")</f>
        <v>4D</v>
      </c>
      <c r="W30" s="7" t="str">
        <f>IFERROR(IF(V30=$W$1,'Open 1'!F30,""),"")</f>
        <v/>
      </c>
      <c r="X30" s="7" t="str">
        <f>IFERROR(IF(V30=$X$1,'Open 1'!F30,""),"")</f>
        <v/>
      </c>
      <c r="Y30" s="7" t="str">
        <f>IFERROR(IF(V30=$Y$1,'Open 1'!F30,""),"")</f>
        <v/>
      </c>
      <c r="Z30" s="7">
        <f>IFERROR(IF($V30=$Z$1,'Open 1'!F30,""),"")</f>
        <v>916.74700002899999</v>
      </c>
      <c r="AA30" s="7" t="str">
        <f>IFERROR(IF(V30=$AA$1,'Open 1'!F30,""),"")</f>
        <v/>
      </c>
      <c r="AB30" s="3" t="s">
        <v>24</v>
      </c>
      <c r="AC30" s="233"/>
      <c r="AD30" s="64" t="str">
        <f t="shared" si="3"/>
        <v>3rd</v>
      </c>
      <c r="AE30" s="16" t="str">
        <f>IFERROR(INDEX('Open 1'!B:F,MATCH(AG30,'Open 1'!F:F,0),1),"-")</f>
        <v xml:space="preserve">Faren Bebeau </v>
      </c>
      <c r="AF30" s="16" t="str">
        <f>IFERROR(INDEX('Open 1'!B:F,MATCH(AG30,'Open 1'!F:F,0),2),"-")</f>
        <v xml:space="preserve">Salina's Sudden Fame </v>
      </c>
      <c r="AG30" s="4">
        <f t="shared" si="7"/>
        <v>16.623000035</v>
      </c>
      <c r="AH30" s="185">
        <f>IF(AT7&gt;0,AT7,"")</f>
        <v>21.6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6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3"/>
      <c r="AD31" s="64" t="str">
        <f t="shared" si="3"/>
        <v>4th</v>
      </c>
      <c r="AE31" s="16" t="str">
        <f>IFERROR(INDEX('Open 1'!B:F,MATCH(AG31,'Open 1'!F:F,0),1),"-")</f>
        <v xml:space="preserve">Keenan Lenzen </v>
      </c>
      <c r="AF31" s="16" t="str">
        <f>IFERROR(INDEX('Open 1'!B:F,MATCH(AG31,'Open 1'!F:F,0),2),"-")</f>
        <v>Dasher</v>
      </c>
      <c r="AG31" s="4">
        <f t="shared" si="7"/>
        <v>16.890000046000001</v>
      </c>
      <c r="AH31" s="185">
        <f>IF(AT8&gt;0,AT8,"")</f>
        <v>10.8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Casey VandenBosch </v>
      </c>
      <c r="C32" s="19" t="str">
        <f>IFERROR(Draw!C32,"")</f>
        <v>Coronas Goldmine</v>
      </c>
      <c r="D32" s="53">
        <v>19.361000000000001</v>
      </c>
      <c r="E32" s="92">
        <v>3.1E-8</v>
      </c>
      <c r="F32" s="93">
        <f t="shared" si="0"/>
        <v>19.361000031</v>
      </c>
      <c r="G32" s="62" t="str">
        <f>IF(A32="yco",VLOOKUP(_xlfn.CONCAT(B32,C32),Youth!S:T,2,FALSE),IF(OR(AND(D32&gt;1,D32&lt;1050),D32="nt",D32="",D32="scratch"),"","Not valid"))</f>
        <v/>
      </c>
      <c r="L32" s="237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19.361000000000001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19.361000031</v>
      </c>
      <c r="AA32" s="7" t="str">
        <f>IFERROR(IF(V32=$AA$1,'Open 1'!F32,""),"")</f>
        <v/>
      </c>
      <c r="AB32" s="3" t="s">
        <v>26</v>
      </c>
      <c r="AC32" s="233"/>
      <c r="AD32" s="64" t="str">
        <f t="shared" si="3"/>
        <v>5th</v>
      </c>
      <c r="AE32" s="16" t="str">
        <f>IFERROR(INDEX('Open 1'!B:F,MATCH(AG32,'Open 1'!F:F,0),1),"-")</f>
        <v xml:space="preserve">Morgan Ober </v>
      </c>
      <c r="AF32" s="16" t="str">
        <f>IFERROR(INDEX('Open 1'!B:F,MATCH(AG32,'Open 1'!F:F,0),2),"-")</f>
        <v xml:space="preserve">Bubba </v>
      </c>
      <c r="AG32" s="4">
        <f t="shared" si="7"/>
        <v>17.225000033000001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Katilynn Jorgensen </v>
      </c>
      <c r="C33" s="19" t="str">
        <f>IFERROR(Draw!C33,"")</f>
        <v xml:space="preserve">I Wood Frost Em </v>
      </c>
      <c r="D33" s="52">
        <v>914.97900000000004</v>
      </c>
      <c r="E33" s="92">
        <v>3.2000000000000002E-8</v>
      </c>
      <c r="F33" s="93">
        <f t="shared" si="0"/>
        <v>914.97900003200004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914.97900000000004</v>
      </c>
      <c r="V33" s="3" t="str">
        <f>IFERROR(VLOOKUP('Open 1'!F33,$AC$3:$AD$7,2,TRUE),"")</f>
        <v>4D</v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>
        <f>IFERROR(IF($V33=$Z$1,'Open 1'!F33,""),"")</f>
        <v>914.97900003200004</v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Maggie Noonan </v>
      </c>
      <c r="AF33" s="16" t="str">
        <f>IFERROR(INDEX('Open 1'!B:F,MATCH(AG33,'Open 1'!F:F,0),2),"-")</f>
        <v xml:space="preserve">Archie </v>
      </c>
      <c r="AG33" s="4">
        <f t="shared" si="7"/>
        <v>18.496000040999999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Morgan Ober </v>
      </c>
      <c r="C34" s="19" t="str">
        <f>IFERROR(Draw!C34,"")</f>
        <v xml:space="preserve">Bubba </v>
      </c>
      <c r="D34" s="52">
        <v>17.225000000000001</v>
      </c>
      <c r="E34" s="92">
        <v>3.2999999999999998E-8</v>
      </c>
      <c r="F34" s="93">
        <f t="shared" si="0"/>
        <v>17.225000033000001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17.225000000000001</v>
      </c>
      <c r="V34" s="3" t="str">
        <f>IFERROR(VLOOKUP('Open 1'!F34,$AC$3:$AD$7,2,TRUE),"")</f>
        <v>4D</v>
      </c>
      <c r="W34" s="7" t="str">
        <f>IFERROR(IF(V34=$W$1,'Open 1'!F34,""),"")</f>
        <v/>
      </c>
      <c r="X34" s="7" t="str">
        <f>IFERROR(IF(V34=$X$1,'Open 1'!F34,""),"")</f>
        <v/>
      </c>
      <c r="Y34" s="7" t="str">
        <f>IFERROR(IF(V34=$Y$1,'Open 1'!F34,""),"")</f>
        <v/>
      </c>
      <c r="Z34" s="7">
        <f>IFERROR(IF($V34=$Z$1,'Open 1'!F34,""),"")</f>
        <v>17.225000033000001</v>
      </c>
      <c r="AA34" s="7" t="str">
        <f>IFERROR(IF(V34=$AA$1,'Open 1'!F34,""),"")</f>
        <v/>
      </c>
      <c r="AB34" s="3" t="s">
        <v>20</v>
      </c>
      <c r="AC34" s="233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Kamryn Chapman </v>
      </c>
      <c r="C35" s="19" t="str">
        <f>IFERROR(Draw!C35,"")</f>
        <v xml:space="preserve">BW so bada lover </v>
      </c>
      <c r="D35" s="52">
        <v>915.04100000000005</v>
      </c>
      <c r="E35" s="92">
        <v>3.4E-8</v>
      </c>
      <c r="F35" s="93">
        <f t="shared" si="0"/>
        <v>915.04100003400004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915.04100000000005</v>
      </c>
      <c r="V35" s="3" t="str">
        <f>IFERROR(VLOOKUP('Open 1'!F35,$AC$3:$AD$7,2,TRUE),"")</f>
        <v>4D</v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>
        <f>IFERROR(IF($V35=$Z$1,'Open 1'!F35,""),"")</f>
        <v>915.04100003400004</v>
      </c>
      <c r="AA35" s="7" t="str">
        <f>IFERROR(IF(V35=$AA$1,'Open 1'!F35,""),"")</f>
        <v/>
      </c>
      <c r="AB35" s="3" t="s">
        <v>21</v>
      </c>
      <c r="AC35" s="233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Faren Bebeau </v>
      </c>
      <c r="C36" s="19" t="str">
        <f>IFERROR(Draw!C36,"")</f>
        <v xml:space="preserve">Salina's Sudden Fame </v>
      </c>
      <c r="D36" s="54">
        <v>16.623000000000001</v>
      </c>
      <c r="E36" s="92">
        <v>3.5000000000000002E-8</v>
      </c>
      <c r="F36" s="93">
        <f t="shared" si="0"/>
        <v>16.623000035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16.623000000000001</v>
      </c>
      <c r="V36" s="3" t="str">
        <f>IFERROR(VLOOKUP('Open 1'!F36,$AC$3:$AD$7,2,TRUE),"")</f>
        <v>4D</v>
      </c>
      <c r="W36" s="7" t="str">
        <f>IFERROR(IF(V36=$W$1,'Open 1'!F36,""),"")</f>
        <v/>
      </c>
      <c r="X36" s="7" t="str">
        <f>IFERROR(IF(V36=$X$1,'Open 1'!F36,""),"")</f>
        <v/>
      </c>
      <c r="Y36" s="7" t="str">
        <f>IFERROR(IF(V36=$Y$1,'Open 1'!F36,""),"")</f>
        <v/>
      </c>
      <c r="Z36" s="7">
        <f>IFERROR(IF($V36=$Z$1,'Open 1'!F36,""),"")</f>
        <v>16.623000035</v>
      </c>
      <c r="AA36" s="7" t="str">
        <f>IFERROR(IF(V36=$AA$1,'Open 1'!F36,""),"")</f>
        <v/>
      </c>
      <c r="AB36" s="3" t="s">
        <v>24</v>
      </c>
      <c r="AC36" s="233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3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Arabella Cook </v>
      </c>
      <c r="C38" s="19" t="str">
        <f>IFERROR(Draw!C38,"")</f>
        <v xml:space="preserve">Dashtaberoyal </v>
      </c>
      <c r="D38" s="51" t="s">
        <v>177</v>
      </c>
      <c r="E38" s="92">
        <v>3.7E-8</v>
      </c>
      <c r="F38" s="93">
        <f t="shared" si="0"/>
        <v>1000.0000000369999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 t="str">
        <f t="shared" si="2"/>
        <v>nt</v>
      </c>
      <c r="V38" s="3" t="str">
        <f>IFERROR(VLOOKUP('Open 1'!F38,$AC$3:$AD$7,2,TRUE),"")</f>
        <v>4D</v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>
        <f>IFERROR(IF($V38=$Z$1,'Open 1'!F38,""),"")</f>
        <v>1000.0000000369999</v>
      </c>
      <c r="AA38" s="7" t="str">
        <f>IFERROR(IF(V38=$AA$1,'Open 1'!F38,""),"")</f>
        <v/>
      </c>
      <c r="AB38" s="3" t="s">
        <v>26</v>
      </c>
      <c r="AC38" s="23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Kristine DeBerg </v>
      </c>
      <c r="C39" s="19" t="str">
        <f>IFERROR(Draw!C39,"")</f>
        <v>Streakinblondelegacy</v>
      </c>
      <c r="D39" s="52">
        <v>15.333</v>
      </c>
      <c r="E39" s="92">
        <v>3.8000000000000003E-8</v>
      </c>
      <c r="F39" s="93">
        <f t="shared" si="0"/>
        <v>15.333000038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15.333</v>
      </c>
      <c r="V39" s="3" t="str">
        <f>IFERROR(VLOOKUP('Open 1'!F39,$AC$3:$AD$7,2,TRUE),"")</f>
        <v>2D</v>
      </c>
      <c r="W39" s="7" t="str">
        <f>IFERROR(IF(V39=$W$1,'Open 1'!F39,""),"")</f>
        <v/>
      </c>
      <c r="X39" s="7">
        <f>IFERROR(IF(V39=$X$1,'Open 1'!F39,""),"")</f>
        <v>15.333000038</v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Sara Jo Lamb </v>
      </c>
      <c r="C40" s="19" t="str">
        <f>IFERROR(Draw!C40,"")</f>
        <v xml:space="preserve">Vegas </v>
      </c>
      <c r="D40" s="54" t="s">
        <v>71</v>
      </c>
      <c r="E40" s="92">
        <v>3.8999999999999998E-8</v>
      </c>
      <c r="F40" s="93">
        <f t="shared" si="0"/>
        <v>3000.000000039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 t="str">
        <f t="shared" si="2"/>
        <v>scratch</v>
      </c>
      <c r="V40" s="3" t="str">
        <f>IFERROR(VLOOKUP('Open 1'!F40,$AC$3:$AD$7,2,TRUE),"")</f>
        <v>4D</v>
      </c>
      <c r="W40" s="7" t="str">
        <f>IFERROR(IF(V40=$W$1,'Open 1'!F40,""),"")</f>
        <v/>
      </c>
      <c r="X40" s="7" t="str">
        <f>IFERROR(IF(V40=$X$1,'Open 1'!F40,""),"")</f>
        <v/>
      </c>
      <c r="Y40" s="7" t="str">
        <f>IFERROR(IF(V40=$Y$1,'Open 1'!F40,""),"")</f>
        <v/>
      </c>
      <c r="Z40" s="7">
        <f>IFERROR(IF($V40=$Z$1,'Open 1'!F40,""),"")</f>
        <v>3000.000000039</v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Alix VanderVoort </v>
      </c>
      <c r="C41" s="19" t="str">
        <f>IFERROR(Draw!C41,"")</f>
        <v xml:space="preserve">RC Whiskey N Roses </v>
      </c>
      <c r="D41" s="52">
        <v>14.48</v>
      </c>
      <c r="E41" s="92">
        <v>4.0000000000000001E-8</v>
      </c>
      <c r="F41" s="93">
        <f t="shared" si="0"/>
        <v>14.48000004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14.48</v>
      </c>
      <c r="V41" s="3" t="str">
        <f>IFERROR(VLOOKUP('Open 1'!F41,$AC$3:$AD$7,2,TRUE),"")</f>
        <v>1D</v>
      </c>
      <c r="W41" s="7">
        <f>IFERROR(IF(V41=$W$1,'Open 1'!F41,""),"")</f>
        <v>14.48000004</v>
      </c>
      <c r="X41" s="7" t="str">
        <f>IFERROR(IF(V41=$X$1,'Open 1'!F41,""),"")</f>
        <v/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Maggie Noonan </v>
      </c>
      <c r="C42" s="19" t="str">
        <f>IFERROR(Draw!C42,"")</f>
        <v xml:space="preserve">Archie </v>
      </c>
      <c r="D42" s="53">
        <v>18.495999999999999</v>
      </c>
      <c r="E42" s="92">
        <v>4.1000000000000003E-8</v>
      </c>
      <c r="F42" s="93">
        <f t="shared" si="0"/>
        <v>18.496000040999999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18.495999999999999</v>
      </c>
      <c r="V42" s="3" t="str">
        <f>IFERROR(VLOOKUP('Open 1'!F42,$AC$3:$AD$7,2,TRUE),"")</f>
        <v>4D</v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>
        <f>IFERROR(IF($V42=$Z$1,'Open 1'!F42,""),"")</f>
        <v>18.496000040999999</v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>Laynie Schuler</v>
      </c>
      <c r="C44" s="19" t="str">
        <f>IFERROR(Draw!C44,"")</f>
        <v>Stolis Prissy Genes</v>
      </c>
      <c r="D44" s="51">
        <v>14.673999999999999</v>
      </c>
      <c r="E44" s="92">
        <v>4.3000000000000001E-8</v>
      </c>
      <c r="F44" s="93">
        <f t="shared" si="0"/>
        <v>14.674000042999999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14.673999999999999</v>
      </c>
      <c r="V44" s="3" t="str">
        <f>IFERROR(VLOOKUP('Open 1'!F44,$AC$3:$AD$7,2,TRUE),"")</f>
        <v>1D</v>
      </c>
      <c r="W44" s="7">
        <f>IFERROR(IF(V44=$W$1,'Open 1'!F44,""),"")</f>
        <v>14.674000042999999</v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>Katie Novak</v>
      </c>
      <c r="C45" s="19" t="str">
        <f>IFERROR(Draw!C45,"")</f>
        <v>Keeper</v>
      </c>
      <c r="D45" s="52">
        <v>15.989000000000001</v>
      </c>
      <c r="E45" s="92">
        <v>4.3999999999999997E-8</v>
      </c>
      <c r="F45" s="93">
        <f t="shared" si="0"/>
        <v>15.989000044000001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15.989000000000001</v>
      </c>
      <c r="V45" s="3" t="str">
        <f>IFERROR(VLOOKUP('Open 1'!F45,$AC$3:$AD$7,2,TRUE),"")</f>
        <v>3D</v>
      </c>
      <c r="W45" s="7" t="str">
        <f>IFERROR(IF(V45=$W$1,'Open 1'!F45,""),"")</f>
        <v/>
      </c>
      <c r="X45" s="7" t="str">
        <f>IFERROR(IF(V45=$X$1,'Open 1'!F45,""),"")</f>
        <v/>
      </c>
      <c r="Y45" s="7">
        <f>IFERROR(IF(V45=$Y$1,'Open 1'!F45,""),"")</f>
        <v>15.989000044000001</v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Stella Schuler </v>
      </c>
      <c r="C46" s="19" t="str">
        <f>IFERROR(Draw!C46,"")</f>
        <v>RCK Guys Mabelline</v>
      </c>
      <c r="D46" s="52">
        <v>14.728</v>
      </c>
      <c r="E46" s="92">
        <v>4.4999999999999999E-8</v>
      </c>
      <c r="F46" s="93">
        <f t="shared" si="0"/>
        <v>14.728000045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14.728</v>
      </c>
      <c r="V46" s="3" t="str">
        <f>IFERROR(VLOOKUP('Open 1'!F46,$AC$3:$AD$7,2,TRUE),"")</f>
        <v>1D</v>
      </c>
      <c r="W46" s="7">
        <f>IFERROR(IF(V46=$W$1,'Open 1'!F46,""),"")</f>
        <v>14.728000045</v>
      </c>
      <c r="X46" s="7" t="str">
        <f>IFERROR(IF(V46=$X$1,'Open 1'!F46,""),"")</f>
        <v/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Keenan Lenzen </v>
      </c>
      <c r="C47" s="19" t="str">
        <f>IFERROR(Draw!C47,"")</f>
        <v>Dasher</v>
      </c>
      <c r="D47" s="52">
        <v>16.89</v>
      </c>
      <c r="E47" s="92">
        <v>4.6000000000000002E-8</v>
      </c>
      <c r="F47" s="93">
        <f t="shared" si="0"/>
        <v>16.890000046000001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16.89</v>
      </c>
      <c r="V47" s="3" t="str">
        <f>IFERROR(VLOOKUP('Open 1'!F47,$AC$3:$AD$7,2,TRUE),"")</f>
        <v>4D</v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>
        <f>IFERROR(IF($V47=$Z$1,'Open 1'!F47,""),"")</f>
        <v>16.890000046000001</v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>Taya Skiles</v>
      </c>
      <c r="C48" s="19" t="str">
        <f>IFERROR(Draw!C48,"")</f>
        <v>Bart's Dixie Pride</v>
      </c>
      <c r="D48" s="54">
        <v>15.977</v>
      </c>
      <c r="E48" s="92">
        <v>4.6999999999999997E-8</v>
      </c>
      <c r="F48" s="93">
        <f t="shared" si="0"/>
        <v>15.977000047000001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15.977</v>
      </c>
      <c r="V48" s="3" t="str">
        <f>IFERROR(VLOOKUP('Open 1'!F48,$AC$3:$AD$7,2,TRUE),"")</f>
        <v>3D</v>
      </c>
      <c r="W48" s="7" t="str">
        <f>IFERROR(IF(V48=$W$1,'Open 1'!F48,""),"")</f>
        <v/>
      </c>
      <c r="X48" s="7" t="str">
        <f>IFERROR(IF(V48=$X$1,'Open 1'!F48,""),"")</f>
        <v/>
      </c>
      <c r="Y48" s="7">
        <f>IFERROR(IF(V48=$Y$1,'Open 1'!F48,""),"")</f>
        <v>15.977000047000001</v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>Blair Ellefson</v>
      </c>
      <c r="C50" s="19" t="str">
        <f>IFERROR(Draw!C50,"")</f>
        <v>Maple</v>
      </c>
      <c r="D50" s="51">
        <v>18.625</v>
      </c>
      <c r="E50" s="92">
        <v>4.9000000000000002E-8</v>
      </c>
      <c r="F50" s="93">
        <f t="shared" si="0"/>
        <v>18.625000049000001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18.625</v>
      </c>
      <c r="V50" s="3" t="str">
        <f>IFERROR(VLOOKUP('Open 1'!F50,$AC$3:$AD$7,2,TRUE),"")</f>
        <v>4D</v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>
        <f>IFERROR(IF($V50=$Z$1,'Open 1'!F50,""),"")</f>
        <v>18.625000049000001</v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>Kaitlynn Jorgensen</v>
      </c>
      <c r="C51" s="19" t="str">
        <f>IFERROR(Draw!C51,"")</f>
        <v>Kitty Dun It</v>
      </c>
      <c r="D51" s="52">
        <v>915.52300000000002</v>
      </c>
      <c r="E51" s="92">
        <v>4.9999999999999998E-8</v>
      </c>
      <c r="F51" s="93">
        <f t="shared" si="0"/>
        <v>915.52300005000006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915.52300000000002</v>
      </c>
      <c r="V51" s="3" t="str">
        <f>IFERROR(VLOOKUP('Open 1'!F51,$AC$3:$AD$7,2,TRUE),"")</f>
        <v>4D</v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>
        <f>IFERROR(IF($V51=$Z$1,'Open 1'!F51,""),"")</f>
        <v>915.52300005000006</v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>Reagan Sperry</v>
      </c>
      <c r="C52" s="19" t="str">
        <f>IFERROR(Draw!C52,"")</f>
        <v>CD Jettin French Money</v>
      </c>
      <c r="D52" s="52">
        <v>16.443999999999999</v>
      </c>
      <c r="E52" s="92">
        <v>5.1E-8</v>
      </c>
      <c r="F52" s="93">
        <f t="shared" si="0"/>
        <v>16.444000051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16.443999999999999</v>
      </c>
      <c r="V52" s="3" t="str">
        <f>IFERROR(VLOOKUP('Open 1'!F52,$AC$3:$AD$7,2,TRUE),"")</f>
        <v>4D</v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>
        <f>IFERROR(IF($V52=$Z$1,'Open 1'!F52,""),"")</f>
        <v>16.444000051</v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>Laynie Schuler</v>
      </c>
      <c r="C53" s="19" t="str">
        <f>IFERROR(Draw!C53,"")</f>
        <v>Flit N Ice</v>
      </c>
      <c r="D53" s="52">
        <v>15.112</v>
      </c>
      <c r="E53" s="92">
        <v>5.2000000000000002E-8</v>
      </c>
      <c r="F53" s="93">
        <f t="shared" si="0"/>
        <v>15.112000052000001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15.112</v>
      </c>
      <c r="V53" s="3" t="str">
        <f>IFERROR(VLOOKUP('Open 1'!F53,$AC$3:$AD$7,2,TRUE),"")</f>
        <v>2D</v>
      </c>
      <c r="W53" s="7" t="str">
        <f>IFERROR(IF(V53=$W$1,'Open 1'!F53,""),"")</f>
        <v/>
      </c>
      <c r="X53" s="7">
        <f>IFERROR(IF(V53=$X$1,'Open 1'!F53,""),"")</f>
        <v>15.112000052000001</v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>Opal Harkins</v>
      </c>
      <c r="C54" s="19" t="str">
        <f>IFERROR(Draw!C54,"")</f>
        <v>Sully</v>
      </c>
      <c r="D54" s="54" t="s">
        <v>177</v>
      </c>
      <c r="E54" s="92">
        <v>5.2999999999999998E-8</v>
      </c>
      <c r="F54" s="93">
        <f t="shared" si="0"/>
        <v>1000.000000053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 t="str">
        <f t="shared" si="2"/>
        <v>nt</v>
      </c>
      <c r="V54" s="3" t="str">
        <f>IFERROR(VLOOKUP('Open 1'!F54,$AC$3:$AD$7,2,TRUE),"")</f>
        <v>4D</v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>
        <f>IFERROR(IF($V54=$Z$1,'Open 1'!F54,""),"")</f>
        <v>1000.000000053</v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>Sydney Fuerst</v>
      </c>
      <c r="C56" s="19" t="str">
        <f>IFERROR(Draw!C56,"")</f>
        <v>Bay</v>
      </c>
      <c r="D56" s="53">
        <v>15.051</v>
      </c>
      <c r="E56" s="92">
        <v>5.5000000000000003E-8</v>
      </c>
      <c r="F56" s="93">
        <f t="shared" si="0"/>
        <v>15.051000054999999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15.051</v>
      </c>
      <c r="V56" s="3" t="str">
        <f>IFERROR(VLOOKUP('Open 1'!F56,$AC$3:$AD$7,2,TRUE),"")</f>
        <v>2D</v>
      </c>
      <c r="W56" s="7" t="str">
        <f>IFERROR(IF(V56=$W$1,'Open 1'!F56,""),"")</f>
        <v/>
      </c>
      <c r="X56" s="7">
        <f>IFERROR(IF(V56=$X$1,'Open 1'!F56,""),"")</f>
        <v>15.051000054999999</v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26" priority="3">
      <formula>MOD(ROW(),6)=1</formula>
    </cfRule>
  </conditionalFormatting>
  <conditionalFormatting sqref="D56:D60">
    <cfRule type="expression" dxfId="25" priority="2">
      <formula>MOD(ROW(),6)=1</formula>
    </cfRule>
  </conditionalFormatting>
  <conditionalFormatting sqref="M4:Q32">
    <cfRule type="expression" dxfId="2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2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2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2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2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2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2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9" t="s">
        <v>27</v>
      </c>
      <c r="J13" s="240"/>
      <c r="K13" s="50">
        <v>4</v>
      </c>
      <c r="L13" s="23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8" t="s">
        <v>77</v>
      </c>
      <c r="I18" s="249"/>
      <c r="J18" s="149">
        <f>(COUNTIF('Youth 2'!$A$2:$A$286,"&gt;0"))</f>
        <v>0</v>
      </c>
      <c r="L18" s="24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2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2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2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2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2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2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4" t="s">
        <v>75</v>
      </c>
      <c r="AM10" s="234"/>
      <c r="AN10" s="23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24" t="s">
        <v>77</v>
      </c>
      <c r="I11" s="225"/>
      <c r="J11" s="189">
        <f>COUNTIF(Youth!$A$2:$A$286,"&gt;0")+COUNTIF(Youth!$A$2:$A$286,"oco")-COUNTIF(D2:D286,"scratch")</f>
        <v>0</v>
      </c>
      <c r="K11" s="50">
        <v>2</v>
      </c>
      <c r="L11" s="23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4" t="s">
        <v>76</v>
      </c>
      <c r="AM11" s="234"/>
      <c r="AN11" s="234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4" t="s">
        <v>79</v>
      </c>
      <c r="AM12" s="234"/>
      <c r="AN12" s="234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4" t="s">
        <v>10</v>
      </c>
      <c r="AM13" s="234"/>
      <c r="AN13" s="234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 Results</vt:lpstr>
      <vt:lpstr>Open 1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2024-03-03T22:05:03Z</cp:lastPrinted>
  <dcterms:created xsi:type="dcterms:W3CDTF">2016-10-21T03:48:16Z</dcterms:created>
  <dcterms:modified xsi:type="dcterms:W3CDTF">2024-03-09T19:39:22Z</dcterms:modified>
</cp:coreProperties>
</file>