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874" firstSheet="4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Time Slots &amp; Exh. " sheetId="34" r:id="rId18"/>
    <sheet name="Poles Calculations" sheetId="16" state="hidden" r:id="rId19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6"/>
  <c r="J26" i="34"/>
  <c r="W10" i="13" l="1"/>
  <c r="W12" s="1"/>
  <c r="AB9"/>
  <c r="AB6" s="1"/>
  <c r="AA9"/>
  <c r="Z9"/>
  <c r="Z7" s="1"/>
  <c r="Y9"/>
  <c r="Y7" s="1"/>
  <c r="AB8"/>
  <c r="AA8"/>
  <c r="AA7"/>
  <c r="AA6"/>
  <c r="AA5"/>
  <c r="AA4"/>
  <c r="AC2"/>
  <c r="W13" l="1"/>
  <c r="Z8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H19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F27" i="29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44" i="29" l="1"/>
  <c r="G144" s="1"/>
  <c r="F185"/>
  <c r="G185" s="1"/>
  <c r="F17"/>
  <c r="G17" s="1"/>
  <c r="F164"/>
  <c r="G164" s="1"/>
  <c r="F70"/>
  <c r="G70" s="1"/>
  <c r="F236"/>
  <c r="G236" s="1"/>
  <c r="F5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T23"/>
  <c r="A2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A15"/>
  <c r="A14"/>
  <c r="A16"/>
  <c r="A13"/>
  <c r="H13" s="1"/>
  <c r="A12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A10" i="25"/>
  <c r="H10" s="1"/>
  <c r="A2" i="29"/>
  <c r="A8" i="25"/>
  <c r="H8" s="1"/>
  <c r="A11" i="29"/>
  <c r="A2" i="25"/>
  <c r="A7" i="29"/>
  <c r="H7" s="1"/>
  <c r="A10"/>
  <c r="A9" i="25"/>
  <c r="H9" s="1"/>
  <c r="A7"/>
  <c r="H7" s="1"/>
  <c r="H26" i="29" l="1"/>
  <c r="H23"/>
  <c r="H24"/>
  <c r="H22"/>
  <c r="H21"/>
  <c r="H20"/>
  <c r="H18"/>
  <c r="H17"/>
  <c r="H16"/>
  <c r="H11"/>
  <c r="H10"/>
  <c r="H12"/>
  <c r="H15"/>
  <c r="H14"/>
  <c r="H8"/>
  <c r="H9"/>
  <c r="AD3" i="25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U10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S8"/>
  <c r="A8" i="21" s="1"/>
  <c r="B148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S9"/>
  <c r="A9" i="21" s="1"/>
  <c r="S5" i="8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S7"/>
  <c r="A7" i="21" s="1"/>
  <c r="S3" i="8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L16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4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J12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G2" i="29" l="1"/>
  <c r="A20" i="13"/>
  <c r="A16"/>
  <c r="A15"/>
  <c r="A21"/>
  <c r="A18"/>
  <c r="A17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T112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3" i="30" l="1"/>
  <c r="D18"/>
  <c r="D14"/>
  <c r="D12"/>
  <c r="D9"/>
  <c r="D20"/>
  <c r="D15"/>
  <c r="D8"/>
  <c r="D5"/>
  <c r="D19"/>
  <c r="D16"/>
  <c r="D13"/>
  <c r="D10"/>
  <c r="D7"/>
  <c r="D17"/>
  <c r="D11"/>
  <c r="D6"/>
  <c r="D4"/>
  <c r="D16" i="32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65"/>
  <c r="E165" s="1"/>
  <c r="A165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63"/>
  <c r="E63" s="1"/>
  <c r="A63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AD28"/>
  <c r="AE28"/>
  <c r="O22" s="1"/>
  <c r="P22"/>
  <c r="H6" i="28" s="1"/>
  <c r="AD24" i="27"/>
  <c r="AC24" s="1"/>
  <c r="M18" s="1"/>
  <c r="N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AE18"/>
  <c r="AD20"/>
  <c r="AC20" s="1"/>
  <c r="AE20"/>
  <c r="AE36"/>
  <c r="AD36"/>
  <c r="AC36" s="1"/>
  <c r="M30" s="1"/>
  <c r="N30" s="1"/>
  <c r="AU9" i="25"/>
  <c r="AT9"/>
  <c r="AR9"/>
  <c r="AS9"/>
  <c r="AD12" i="27"/>
  <c r="AC12" s="1"/>
  <c r="M6" s="1"/>
  <c r="N6" s="1"/>
  <c r="AE12"/>
  <c r="AD29"/>
  <c r="AC29" s="1"/>
  <c r="M23" s="1"/>
  <c r="N23" s="1"/>
  <c r="AE29"/>
  <c r="AD30"/>
  <c r="AC30" s="1"/>
  <c r="M24" s="1"/>
  <c r="N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E6" i="30" l="1"/>
  <c r="E17"/>
  <c r="E10"/>
  <c r="E16"/>
  <c r="E5"/>
  <c r="E15"/>
  <c r="E9"/>
  <c r="E14"/>
  <c r="E3"/>
  <c r="E4"/>
  <c r="E11"/>
  <c r="E7"/>
  <c r="E13"/>
  <c r="E19"/>
  <c r="E8"/>
  <c r="E20"/>
  <c r="E12"/>
  <c r="E18"/>
  <c r="B65" i="16"/>
  <c r="O18" i="27"/>
  <c r="P18" s="1"/>
  <c r="O6"/>
  <c r="P6" s="1"/>
  <c r="O30"/>
  <c r="P30" s="1"/>
  <c r="O12"/>
  <c r="P12" s="1"/>
  <c r="O24"/>
  <c r="P24" s="1"/>
  <c r="O5"/>
  <c r="P5" s="1"/>
  <c r="O17"/>
  <c r="P17" s="1"/>
  <c r="O23"/>
  <c r="P23" s="1"/>
  <c r="O29"/>
  <c r="P29" s="1"/>
  <c r="O11"/>
  <c r="P11" s="1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15"/>
  <c r="B115"/>
  <c r="C80"/>
  <c r="B80"/>
  <c r="C77"/>
  <c r="B77"/>
  <c r="A121"/>
  <c r="A151"/>
  <c r="G3" i="32"/>
  <c r="F3"/>
  <c r="T3"/>
  <c r="C42" i="30"/>
  <c r="B42"/>
  <c r="C62"/>
  <c r="B62"/>
  <c r="C211"/>
  <c r="B211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202"/>
  <c r="B202"/>
  <c r="C96"/>
  <c r="B96"/>
  <c r="C84"/>
  <c r="B84"/>
  <c r="C177"/>
  <c r="B177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223"/>
  <c r="B223"/>
  <c r="C224"/>
  <c r="B224"/>
  <c r="C22"/>
  <c r="B22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A3"/>
  <c r="C144"/>
  <c r="B144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97"/>
  <c r="B97"/>
  <c r="C51"/>
  <c r="B51"/>
  <c r="C190"/>
  <c r="B190"/>
  <c r="C54"/>
  <c r="B54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B20" i="30" l="1"/>
  <c r="C20"/>
  <c r="A20"/>
  <c r="B8"/>
  <c r="C8"/>
  <c r="A8"/>
  <c r="B13"/>
  <c r="C13"/>
  <c r="A13"/>
  <c r="C11"/>
  <c r="B11"/>
  <c r="B4"/>
  <c r="C4"/>
  <c r="C3"/>
  <c r="B3"/>
  <c r="C14"/>
  <c r="B14"/>
  <c r="A14"/>
  <c r="B9"/>
  <c r="C9"/>
  <c r="A9"/>
  <c r="B5"/>
  <c r="C5"/>
  <c r="A5"/>
  <c r="C6"/>
  <c r="B6"/>
  <c r="A6"/>
  <c r="B18"/>
  <c r="C18"/>
  <c r="A18"/>
  <c r="B12"/>
  <c r="C12"/>
  <c r="A12"/>
  <c r="B19"/>
  <c r="C19"/>
  <c r="B7"/>
  <c r="C7"/>
  <c r="A7"/>
  <c r="B15"/>
  <c r="C15"/>
  <c r="B16"/>
  <c r="C16"/>
  <c r="B10"/>
  <c r="C10"/>
  <c r="A10"/>
  <c r="B17"/>
  <c r="C17"/>
  <c r="AO10" i="32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7"/>
  <c r="N7" s="1"/>
  <c r="O7" s="1"/>
  <c r="P7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8"/>
  <c r="N8" s="1"/>
  <c r="O8" s="1"/>
  <c r="P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E20" i="25" l="1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4" i="32" l="1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AL12"/>
  <c r="N6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6" i="25" l="1"/>
  <c r="S18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M18" s="1"/>
  <c r="N18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M12" s="1"/>
  <c r="N12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M6" s="1"/>
  <c r="N6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M24" s="1"/>
  <c r="N24" s="1"/>
  <c r="AF30"/>
  <c r="AF36"/>
  <c r="AE36"/>
  <c r="AD36" s="1"/>
  <c r="M30" s="1"/>
  <c r="N30" s="1"/>
  <c r="O30" s="1"/>
  <c r="P30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F17" i="30" l="1"/>
  <c r="F15"/>
  <c r="F14"/>
  <c r="F3"/>
  <c r="F4"/>
  <c r="F11"/>
  <c r="F13"/>
  <c r="F19"/>
  <c r="F8"/>
  <c r="F20"/>
  <c r="F6"/>
  <c r="F10"/>
  <c r="F16"/>
  <c r="F5"/>
  <c r="F9"/>
  <c r="F7"/>
  <c r="F12"/>
  <c r="F18"/>
  <c r="G8"/>
  <c r="G13"/>
  <c r="G3"/>
  <c r="G10"/>
  <c r="G18"/>
  <c r="G7"/>
  <c r="G14"/>
  <c r="G5"/>
  <c r="G6"/>
  <c r="G12"/>
  <c r="G19"/>
  <c r="G11"/>
  <c r="G15"/>
  <c r="G17"/>
  <c r="G20"/>
  <c r="G4"/>
  <c r="G9"/>
  <c r="G16"/>
  <c r="O12" i="32"/>
  <c r="P12" s="1"/>
  <c r="O18"/>
  <c r="P18" s="1"/>
  <c r="O24"/>
  <c r="P24" s="1"/>
  <c r="O6"/>
  <c r="P6" s="1"/>
  <c r="P18" i="29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22"/>
  <c r="F43"/>
  <c r="F28"/>
  <c r="F26"/>
  <c r="F41"/>
  <c r="F30"/>
  <c r="F21"/>
  <c r="F50"/>
  <c r="F46"/>
  <c r="F33"/>
  <c r="F27"/>
  <c r="F42"/>
  <c r="F23"/>
  <c r="F35"/>
  <c r="F24"/>
  <c r="F44"/>
  <c r="F36"/>
  <c r="F29"/>
  <c r="F31"/>
  <c r="F45"/>
  <c r="F47"/>
  <c r="F37"/>
  <c r="F34"/>
  <c r="F25"/>
  <c r="F32"/>
  <c r="F2"/>
  <c r="F39"/>
  <c r="F49"/>
  <c r="F48"/>
  <c r="F51"/>
  <c r="G128"/>
  <c r="G250"/>
  <c r="G159"/>
  <c r="G223"/>
  <c r="G78"/>
  <c r="G74"/>
  <c r="G183"/>
  <c r="G151"/>
  <c r="G28"/>
  <c r="G166"/>
  <c r="G129"/>
  <c r="G67"/>
  <c r="G188"/>
  <c r="G38"/>
  <c r="G97"/>
  <c r="G147"/>
  <c r="G216"/>
  <c r="G53"/>
  <c r="G101"/>
  <c r="G62"/>
  <c r="G7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69"/>
  <c r="G150"/>
  <c r="G111"/>
  <c r="G200"/>
  <c r="G234"/>
  <c r="G155"/>
  <c r="G130"/>
  <c r="G49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00"/>
  <c r="G45"/>
  <c r="G246"/>
  <c r="G99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83"/>
  <c r="G154"/>
  <c r="G201"/>
  <c r="G60"/>
  <c r="G171"/>
  <c r="G245"/>
  <c r="G169"/>
  <c r="G235"/>
  <c r="G11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65"/>
  <c r="G114"/>
  <c r="G230"/>
  <c r="G195"/>
  <c r="G165"/>
  <c r="G163"/>
  <c r="G52"/>
  <c r="G82"/>
  <c r="G34"/>
  <c r="G157"/>
  <c r="G174"/>
  <c r="G210"/>
  <c r="G213"/>
  <c r="G86"/>
  <c r="G198"/>
  <c r="G131"/>
  <c r="G142"/>
  <c r="G93"/>
  <c r="G77"/>
  <c r="G221"/>
  <c r="G31"/>
  <c r="G215"/>
  <c r="G194"/>
  <c r="G145"/>
  <c r="G135"/>
  <c r="G205"/>
  <c r="G143"/>
  <c r="G170"/>
  <c r="G46"/>
  <c r="G192"/>
  <c r="G117"/>
  <c r="G136"/>
  <c r="G251"/>
  <c r="G55"/>
  <c r="G156"/>
  <c r="G173"/>
  <c r="G108"/>
  <c r="G146"/>
  <c r="G222"/>
  <c r="G30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<sst xmlns="http://schemas.openxmlformats.org/spreadsheetml/2006/main" count="890" uniqueCount="250">
  <si>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</si>
  <si>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</si>
  <si>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</si>
  <si>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</si>
  <si>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</si>
  <si>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</si>
  <si>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</si>
  <si>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</si>
  <si>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</si>
  <si>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</si>
  <si>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</si>
  <si>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</si>
  <si>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</si>
  <si>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</si>
  <si>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</si>
  <si>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</si>
  <si>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</si>
  <si>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</si>
  <si>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</si>
  <si>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</si>
  <si>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</si>
  <si>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</si>
  <si>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</si>
  <si>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</si>
  <si>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</si>
  <si>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</si>
  <si>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</si>
  <si>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</si>
  <si>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</si>
  <si>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</si>
  <si>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</si>
  <si>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</si>
  <si>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</si>
  <si>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</si>
  <si>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</si>
  <si>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</si>
  <si>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</si>
  <si>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</si>
  <si>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</si>
  <si>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</si>
  <si>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</si>
  <si>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</si>
  <si>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</si>
  <si>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</si>
  <si>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</si>
  <si>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</si>
  <si>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</si>
  <si>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</si>
  <si>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</si>
  <si>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</si>
  <si>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</si>
  <si>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</si>
  <si>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</si>
  <si>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</si>
  <si>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</si>
  <si>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</si>
  <si>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</si>
  <si>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</si>
  <si>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</si>
  <si>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</si>
  <si>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</si>
  <si>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</si>
  <si>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</si>
  <si>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</si>
  <si>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</si>
  <si>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</si>
  <si>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</si>
  <si>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</si>
  <si>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</si>
  <si>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</si>
  <si>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</si>
  <si>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</si>
  <si>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</si>
  <si>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</si>
  <si>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</si>
  <si>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</si>
  <si>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</si>
  <si>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</si>
  <si>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</si>
  <si>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</si>
  <si>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</si>
  <si>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</si>
  <si>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</si>
  <si>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</si>
  <si>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</si>
  <si>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</si>
  <si>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</si>
  <si>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</si>
  <si>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</si>
  <si>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</si>
  <si>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</si>
  <si>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TIme Slots</t>
  </si>
  <si>
    <t>10:30-11:00</t>
  </si>
  <si>
    <t>11:00-11:30</t>
  </si>
  <si>
    <t>11:30-12:00</t>
  </si>
  <si>
    <t>Exhibitions</t>
  </si>
  <si>
    <t>total</t>
  </si>
  <si>
    <t>Lainie Scholtz</t>
  </si>
  <si>
    <t>Holly</t>
  </si>
  <si>
    <t>Sierra Berg</t>
  </si>
  <si>
    <t>Autumn Maxfield</t>
  </si>
  <si>
    <t>Mike B</t>
  </si>
  <si>
    <t>Kristine Deberg</t>
  </si>
  <si>
    <t>Cami Wolles</t>
  </si>
  <si>
    <t>Olivia Selleck</t>
  </si>
  <si>
    <t>Sara Jo Lamb</t>
  </si>
  <si>
    <t>Nicole Vanwell</t>
  </si>
  <si>
    <t>Chelsey Mielke</t>
  </si>
  <si>
    <t>Denise Benney</t>
  </si>
  <si>
    <t>Kristan Soukup</t>
  </si>
  <si>
    <t>Elaine H</t>
  </si>
  <si>
    <t>Pam Elshere</t>
  </si>
  <si>
    <t>Nicole VanWell</t>
  </si>
  <si>
    <t>Lily Kenny</t>
  </si>
  <si>
    <t>Deb kruger</t>
  </si>
  <si>
    <t>Brittany Dieters</t>
  </si>
  <si>
    <t>Aleah Marco</t>
  </si>
  <si>
    <t>Bailey Logan</t>
  </si>
  <si>
    <t>Pam Vankekerix</t>
  </si>
  <si>
    <t xml:space="preserve">Savannah </t>
  </si>
  <si>
    <t>Andrea Hansen</t>
  </si>
  <si>
    <t>Jackie Feikema</t>
  </si>
  <si>
    <t>Nicole Mahlen</t>
  </si>
  <si>
    <t>TresTimesTheDynamite</t>
  </si>
  <si>
    <t>MMT Rebel In Motion</t>
  </si>
  <si>
    <t>Kayleigh Maras</t>
  </si>
  <si>
    <t>Mayor Perks</t>
  </si>
  <si>
    <t>Split</t>
  </si>
  <si>
    <t>Mike Boomgarden</t>
  </si>
  <si>
    <t>Rook</t>
  </si>
  <si>
    <t>Peanut</t>
  </si>
  <si>
    <t>Anne Ammot</t>
  </si>
  <si>
    <t>Hattie</t>
  </si>
  <si>
    <t>Candice Aamot</t>
  </si>
  <si>
    <t>Streaker</t>
  </si>
  <si>
    <t>Houdini</t>
  </si>
  <si>
    <t>Megan Rosendahl</t>
  </si>
  <si>
    <t>A Dash of Jerzy Cash</t>
  </si>
  <si>
    <t>Megan Thorson</t>
  </si>
  <si>
    <t>Rocky Rio Rebel</t>
  </si>
  <si>
    <t>MMT Rox My World</t>
  </si>
  <si>
    <t>Last Chance Fling</t>
  </si>
  <si>
    <t>Rachel Kelderman</t>
  </si>
  <si>
    <t xml:space="preserve">Lucy </t>
  </si>
  <si>
    <t>Leo</t>
  </si>
  <si>
    <t>Janice Roebuck</t>
  </si>
  <si>
    <t>Flirty Ways</t>
  </si>
  <si>
    <t>Kristine DeBerg</t>
  </si>
  <si>
    <t>Jessfrostmycake</t>
  </si>
  <si>
    <t>Streakinblondelegacy</t>
  </si>
  <si>
    <t>Chicks Share of Fame</t>
  </si>
  <si>
    <t>Blue</t>
  </si>
  <si>
    <t>Alive with Trouble ( Soldier)</t>
  </si>
  <si>
    <t>Lanes Golden Money</t>
  </si>
  <si>
    <t>Carrie Dieters</t>
  </si>
  <si>
    <t>A Guy With Fame</t>
  </si>
  <si>
    <t>Cheyenne</t>
  </si>
  <si>
    <t>Nellie</t>
  </si>
  <si>
    <t>JPS Kas IM stylish</t>
  </si>
  <si>
    <t>PC Remarkable</t>
  </si>
  <si>
    <t>PC Sun Needs Fame</t>
  </si>
  <si>
    <t>Elaine Hagen</t>
  </si>
  <si>
    <t>MIP Streakin Seltzer</t>
  </si>
  <si>
    <t>Sawyers Jo Glo</t>
  </si>
  <si>
    <t xml:space="preserve">Pam Elshere </t>
  </si>
  <si>
    <t>Secret Storm Bug</t>
  </si>
  <si>
    <t>Deb Kruger</t>
  </si>
  <si>
    <t>Fast Sassafrass</t>
  </si>
  <si>
    <t>Premier Passum</t>
  </si>
  <si>
    <t>BrucesPeppyGal</t>
  </si>
  <si>
    <t>Betty</t>
  </si>
  <si>
    <t>Marked With Chrome</t>
  </si>
  <si>
    <t>Kendall Gillen</t>
  </si>
  <si>
    <t>Blue Eyes</t>
  </si>
  <si>
    <t>Kayla Pappendick</t>
  </si>
  <si>
    <t>Buddy</t>
  </si>
  <si>
    <t>Shana Lensing</t>
  </si>
  <si>
    <t>Sages Lil Peppy Doc</t>
  </si>
  <si>
    <t>Slick Velvet Kat</t>
  </si>
  <si>
    <t>Dinkys Leroy Cash</t>
  </si>
  <si>
    <t>Ultimate Dream Maker</t>
  </si>
  <si>
    <t>Mia Gillen</t>
  </si>
  <si>
    <t>Huckleberry</t>
  </si>
  <si>
    <t>Quinn Gillen</t>
  </si>
  <si>
    <t>Makayla Cross</t>
  </si>
  <si>
    <t>Jacks Dashin Destiny</t>
  </si>
  <si>
    <t>Aishas Burnin Love</t>
  </si>
  <si>
    <t>Kix</t>
  </si>
  <si>
    <t>oco</t>
  </si>
  <si>
    <t>oy</t>
  </si>
  <si>
    <t>co</t>
  </si>
  <si>
    <t>Eva Schafer</t>
  </si>
  <si>
    <t>Zipper</t>
  </si>
  <si>
    <t>Joslyn Deknikker</t>
  </si>
  <si>
    <t>Chexies Smoke</t>
  </si>
  <si>
    <t>Penny Schlagel</t>
  </si>
  <si>
    <t>BI Serendipity</t>
  </si>
  <si>
    <t>Kristi Cleland</t>
  </si>
  <si>
    <t>Fergie</t>
  </si>
  <si>
    <t>Karen Clausen</t>
  </si>
  <si>
    <t>SRR Cougar Cat</t>
  </si>
  <si>
    <t>Jodie Greig</t>
  </si>
  <si>
    <t xml:space="preserve">Streakin On Fame </t>
  </si>
  <si>
    <t>Josey Fey</t>
  </si>
  <si>
    <t>O SO Country</t>
  </si>
  <si>
    <t>Gunning for Fame</t>
  </si>
  <si>
    <t>Hatty Fey</t>
  </si>
  <si>
    <t>Maude</t>
  </si>
  <si>
    <t>Sage</t>
  </si>
  <si>
    <t>Erica Traut</t>
  </si>
  <si>
    <t>RDC Eym French Nrare</t>
  </si>
  <si>
    <t>lenae Wiersma</t>
  </si>
  <si>
    <t>Lenae Wiersma</t>
  </si>
  <si>
    <t>TBD</t>
  </si>
  <si>
    <t>Natalie Hieronimus</t>
  </si>
  <si>
    <t>SH Chrome Ta Fame</t>
  </si>
  <si>
    <t>Charlie</t>
  </si>
  <si>
    <t>Kaitilynn Jorgensen</t>
  </si>
  <si>
    <t>Kara Martin</t>
  </si>
  <si>
    <t>Lexy Steffel</t>
  </si>
  <si>
    <t>Takin on a Goldmine</t>
  </si>
  <si>
    <t>Jamie Zuidema</t>
  </si>
  <si>
    <t>Hayden Seitz</t>
  </si>
  <si>
    <t>Jitter</t>
  </si>
  <si>
    <t>MS Holywood (Anna)</t>
  </si>
  <si>
    <t>Carl's Bad Cat (Maui)</t>
  </si>
  <si>
    <t>Kennedy Stephens</t>
  </si>
  <si>
    <t>Hollywood</t>
  </si>
  <si>
    <t xml:space="preserve">Kitty Dun It </t>
  </si>
  <si>
    <t>Dasher</t>
  </si>
  <si>
    <t>Reno</t>
  </si>
  <si>
    <t>Fame</t>
  </si>
  <si>
    <t>Flame</t>
  </si>
  <si>
    <t>Kamber Bosse</t>
  </si>
  <si>
    <t>ACSparklinMoonshine</t>
  </si>
  <si>
    <t>Lily Foss</t>
  </si>
  <si>
    <t>Horse 1</t>
  </si>
  <si>
    <t>Ali Dieters</t>
  </si>
  <si>
    <t>Jasper</t>
  </si>
  <si>
    <t>Emily Dieters</t>
  </si>
  <si>
    <t>Courtney Downs</t>
  </si>
  <si>
    <t>Lux Lensing</t>
  </si>
  <si>
    <t>Mallix</t>
  </si>
  <si>
    <t>Scooter</t>
  </si>
  <si>
    <t>nt</t>
  </si>
  <si>
    <t>korbyn hieb</t>
  </si>
  <si>
    <t>jitter</t>
  </si>
  <si>
    <t>Brylee Redlin</t>
  </si>
  <si>
    <t>HotRod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</si>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</sst>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13" borderId="0" xfId="0" applyFill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8" t="s">
        <v>36</v>
      </c>
      <c r="B1" s="238"/>
      <c r="C1" s="238"/>
    </row>
    <row r="2" spans="1:13" ht="16.5" customHeight="1" thickBot="1">
      <c r="A2" s="239" t="s">
        <v>38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9" t="s">
        <v>39</v>
      </c>
      <c r="B16" s="240"/>
      <c r="C16" s="240"/>
      <c r="D16" s="240"/>
      <c r="E16" s="240"/>
      <c r="F16" s="240"/>
      <c r="G16" s="240"/>
      <c r="H16" s="240"/>
      <c r="I16" s="240"/>
      <c r="J16" s="241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9" t="s">
        <v>52</v>
      </c>
      <c r="B57" s="240"/>
      <c r="C57" s="240"/>
      <c r="D57" s="240"/>
      <c r="E57" s="240"/>
      <c r="F57" s="240"/>
      <c r="G57" s="240"/>
      <c r="H57" s="240"/>
      <c r="I57" s="240"/>
      <c r="J57" s="241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9" t="s">
        <v>37</v>
      </c>
      <c r="B76" s="240"/>
      <c r="C76" s="240"/>
      <c r="D76" s="240"/>
      <c r="E76" s="240"/>
      <c r="F76" s="240"/>
      <c r="G76" s="240"/>
      <c r="H76" s="240"/>
      <c r="I76" s="240"/>
      <c r="J76" s="241"/>
    </row>
    <row r="77" spans="1:12" ht="15" customHeight="1">
      <c r="A77" s="229" t="s">
        <v>65</v>
      </c>
      <c r="B77" s="230"/>
      <c r="C77" s="230"/>
      <c r="D77" s="230"/>
      <c r="E77" s="230"/>
      <c r="F77" s="230"/>
      <c r="G77" s="230"/>
      <c r="H77" s="230"/>
      <c r="I77" s="230"/>
      <c r="J77" s="231"/>
      <c r="K77" s="148"/>
      <c r="L77" s="148"/>
    </row>
    <row r="78" spans="1:12">
      <c r="A78" s="232"/>
      <c r="B78" s="233"/>
      <c r="C78" s="233"/>
      <c r="D78" s="233"/>
      <c r="E78" s="233"/>
      <c r="F78" s="233"/>
      <c r="G78" s="233"/>
      <c r="H78" s="233"/>
      <c r="I78" s="233"/>
      <c r="J78" s="234"/>
      <c r="K78" s="148"/>
      <c r="L78" s="148"/>
    </row>
    <row r="79" spans="1:12" ht="15.75" thickBot="1">
      <c r="A79" s="235"/>
      <c r="B79" s="236"/>
      <c r="C79" s="236"/>
      <c r="D79" s="236"/>
      <c r="E79" s="236"/>
      <c r="F79" s="236"/>
      <c r="G79" s="236"/>
      <c r="H79" s="236"/>
      <c r="I79" s="236"/>
      <c r="J79" s="237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W286"/>
  <sheetViews>
    <sheetView zoomScale="60" zoomScaleNormal="60" workbookViewId="0">
      <pane ySplit="1" topLeftCell="A2" activePane="bottomLeft" state="frozen"/>
      <selection pane="bottomLeft" activeCell="K26" sqref="K26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6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5.28515625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8" width="9.140625" style="21" customWidth="1"/>
    <col min="59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Aleah Marco</v>
      </c>
      <c r="C2" s="23" t="str">
        <f>IFERROR(Draw!H2,"")</f>
        <v>Premier Passum</v>
      </c>
      <c r="D2" s="59">
        <v>14.935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14.935000001000001</v>
      </c>
      <c r="G2" s="107">
        <f>IF(F2&lt;4000,F2,"")</f>
        <v>14.935000001000001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 t="shared" ref="T2:T65" si="0">CONCATENATE(B2,C2)</f>
        <v>Aleah MarcoPremier Passum</v>
      </c>
      <c r="U2" s="109">
        <f t="shared" ref="U2:U65" si="1">D2</f>
        <v>14.935</v>
      </c>
      <c r="X2" s="3" t="str">
        <f>IFERROR(VLOOKUP('Open 2'!F2,$AE$3:$AF$7,2,TRUE),"")</f>
        <v>2D</v>
      </c>
      <c r="Y2" s="8" t="str">
        <f>IFERROR(IF(X2=$Y$1,'Open 2'!F2,""),"")</f>
        <v/>
      </c>
      <c r="Z2" s="8">
        <f>IFERROR(IF(X2=$Z$1,'Open 2'!F2,""),"")</f>
        <v>14.935000001000001</v>
      </c>
      <c r="AA2" s="8" t="str">
        <f>IFERROR(IF(X2=$AA$1,'Open 2'!F2,""),"")</f>
        <v/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Josey Fey</v>
      </c>
      <c r="C3" s="23" t="str">
        <f>IFERROR(Draw!H3,"")</f>
        <v>O SO Country</v>
      </c>
      <c r="D3" s="60">
        <v>14.581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4000.000000002</v>
      </c>
      <c r="G3" s="107" t="str">
        <f t="shared" ref="G3:G66" si="2">IF(F3&lt;4000,F3,"")</f>
        <v/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60" t="s">
        <v>80</v>
      </c>
      <c r="J3" s="261"/>
      <c r="K3" s="190"/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si="0"/>
        <v>Josey FeyO SO Country</v>
      </c>
      <c r="U3" s="109">
        <f t="shared" si="1"/>
        <v>14.581</v>
      </c>
      <c r="X3" s="3" t="str">
        <f>IFERROR(VLOOKUP('Open 2'!F3,$AE$3:$AF$7,2,TRUE),"")</f>
        <v>4D</v>
      </c>
      <c r="Y3" s="8" t="str">
        <f>IFERROR(IF(X3=$Y$1,'Open 2'!F3,""),"")</f>
        <v/>
      </c>
      <c r="Z3" s="8" t="str">
        <f>IFERROR(IF(X3=$Z$1,'Open 2'!F3,""),"")</f>
        <v/>
      </c>
      <c r="AA3" s="8" t="str">
        <f>IFERROR(IF(X3=$AA$1,'Open 2'!F3,""),"")</f>
        <v/>
      </c>
      <c r="AB3" s="8">
        <f>IFERROR(IF($X3=$AB$1,'Open 2'!F3,""),"")</f>
        <v>4000.000000002</v>
      </c>
      <c r="AC3" s="8" t="str">
        <f>IFERROR(IF(X3=$AC$1,'Open 2'!F3,""),"")</f>
        <v/>
      </c>
      <c r="AD3" s="18"/>
      <c r="AE3" s="9">
        <f>MIN('Open 2'!G:G)</f>
        <v>14.253000025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Natalie Hieronimus</v>
      </c>
      <c r="C4" s="23" t="str">
        <f>IFERROR(Draw!H4,"")</f>
        <v>SH Chrome Ta Fame</v>
      </c>
      <c r="D4" s="61">
        <v>15.999000000000001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15.999000003000001</v>
      </c>
      <c r="G4" s="107">
        <f t="shared" si="2"/>
        <v>15.999000003000001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62" t="s">
        <v>3</v>
      </c>
      <c r="N4" s="46" t="str">
        <f>'Open 2'!AF10</f>
        <v>1st</v>
      </c>
      <c r="O4" s="29" t="str">
        <f>'Open 2'!AG10</f>
        <v>Jodie Greig</v>
      </c>
      <c r="P4" s="29" t="str">
        <f>'Open 2'!AH10</f>
        <v xml:space="preserve">Streakin On Fame </v>
      </c>
      <c r="Q4" s="47">
        <f>'Open 2'!AI10</f>
        <v>14.253000025</v>
      </c>
      <c r="R4" s="181">
        <f>AJ10</f>
        <v>77</v>
      </c>
      <c r="T4" s="21" t="str">
        <f t="shared" si="0"/>
        <v>Natalie HieronimusSH Chrome Ta Fame</v>
      </c>
      <c r="U4" s="109">
        <f t="shared" si="1"/>
        <v>15.999000000000001</v>
      </c>
      <c r="X4" s="3" t="str">
        <f>IFERROR(VLOOKUP('Open 2'!F4,$AE$3:$AF$7,2,TRUE),"")</f>
        <v>3D</v>
      </c>
      <c r="Y4" s="8" t="str">
        <f>IFERROR(IF(X4=$Y$1,'Open 2'!F4,""),"")</f>
        <v/>
      </c>
      <c r="Z4" s="8" t="str">
        <f>IFERROR(IF(X4=$Z$1,'Open 2'!F4,""),"")</f>
        <v/>
      </c>
      <c r="AA4" s="8">
        <f>IFERROR(IF(X4=$AA$1,'Open 2'!F4,""),"")</f>
        <v>15.999000003000001</v>
      </c>
      <c r="AB4" s="8" t="str">
        <f>IFERROR(IF($X4=$AB$1,'Open 2'!F4,""),"")</f>
        <v/>
      </c>
      <c r="AC4" s="8" t="str">
        <f>IFERROR(IF(X4=$AC$1,'Open 2'!F4,""),"")</f>
        <v/>
      </c>
      <c r="AD4" s="18"/>
      <c r="AE4" s="10">
        <f>AE3+0.5</f>
        <v>14.753000025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77</v>
      </c>
      <c r="AT4" s="177">
        <f t="shared" si="3"/>
        <v>66</v>
      </c>
      <c r="AU4" s="177">
        <f t="shared" si="3"/>
        <v>44</v>
      </c>
      <c r="AV4" s="177">
        <f t="shared" si="3"/>
        <v>33</v>
      </c>
    </row>
    <row r="5" spans="1:49" ht="16.5" thickBot="1">
      <c r="A5" s="22">
        <f>IF(B5="","",Draw!F5)</f>
        <v>4</v>
      </c>
      <c r="B5" s="23" t="str">
        <f>IFERROR(Draw!G5,"")</f>
        <v>Andrea Hansen</v>
      </c>
      <c r="C5" s="23" t="str">
        <f>IFERROR(Draw!H5,"")</f>
        <v>Betty</v>
      </c>
      <c r="D5" s="62">
        <v>14.551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14.551000004</v>
      </c>
      <c r="G5" s="107">
        <f t="shared" si="2"/>
        <v>14.551000004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14.253000025</v>
      </c>
      <c r="M5" s="263"/>
      <c r="N5" s="37" t="str">
        <f>IF($K$13&lt;"2","",'Open 2'!AF11)</f>
        <v/>
      </c>
      <c r="O5" s="26" t="str">
        <f>IF(N5="","",'Open 2'!AG11)</f>
        <v/>
      </c>
      <c r="P5" s="26" t="str">
        <f>IF(O5="","",'Open 2'!AH11)</f>
        <v/>
      </c>
      <c r="Q5" s="48" t="str">
        <f>IF(P5="","",'Open 2'!AI11)</f>
        <v/>
      </c>
      <c r="R5" s="182" t="str">
        <f>AJ11</f>
        <v/>
      </c>
      <c r="T5" s="21" t="str">
        <f t="shared" si="0"/>
        <v>Andrea HansenBetty</v>
      </c>
      <c r="U5" s="109">
        <f t="shared" si="1"/>
        <v>14.551</v>
      </c>
      <c r="X5" s="3" t="str">
        <f>IFERROR(VLOOKUP('Open 2'!F5,$AE$3:$AF$7,2,TRUE),"")</f>
        <v>1D</v>
      </c>
      <c r="Y5" s="8">
        <f>IFERROR(IF(X5=$Y$1,'Open 2'!F5,""),"")</f>
        <v>14.551000004</v>
      </c>
      <c r="Z5" s="8" t="str">
        <f>IFERROR(IF(X5=$Z$1,'Open 2'!F5,""),"")</f>
        <v/>
      </c>
      <c r="AA5" s="8" t="str">
        <f>IFERROR(IF(X5=$AA$1,'Open 2'!F5,""),"")</f>
        <v/>
      </c>
      <c r="AB5" s="8" t="str">
        <f>IFERROR(IF($X5=$AB$1,'Open 2'!F5,""),"")</f>
        <v/>
      </c>
      <c r="AC5" s="8" t="str">
        <f>IFERROR(IF(X5=$AC$1,'Open 2'!F5,""),"")</f>
        <v/>
      </c>
      <c r="AD5" s="18"/>
      <c r="AE5" s="10">
        <f>AE4+0.5</f>
        <v>15.253000025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0</v>
      </c>
      <c r="AT5" s="177">
        <f t="shared" si="3"/>
        <v>0</v>
      </c>
      <c r="AU5" s="177">
        <f t="shared" si="3"/>
        <v>0</v>
      </c>
      <c r="AV5" s="177">
        <f t="shared" si="3"/>
        <v>0</v>
      </c>
    </row>
    <row r="6" spans="1:49" ht="16.5" thickBot="1">
      <c r="A6" s="22">
        <f>IF(B6="","",Draw!F6)</f>
        <v>5</v>
      </c>
      <c r="B6" s="23" t="str">
        <f>IFERROR(Draw!G6,"")</f>
        <v>Denise Benney</v>
      </c>
      <c r="C6" s="23" t="str">
        <f>IFERROR(Draw!H6,"")</f>
        <v>Cheyenne</v>
      </c>
      <c r="D6" s="62" t="s">
        <v>71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3000.0000000049999</v>
      </c>
      <c r="G6" s="107">
        <f t="shared" si="2"/>
        <v>3000.0000000049999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14.753000025</v>
      </c>
      <c r="M6" s="263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0"/>
        <v>Denise BenneyCheyenne</v>
      </c>
      <c r="U6" s="109" t="str">
        <f t="shared" si="1"/>
        <v>scratch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3000.0000000049999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16.253000024999999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2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15.253000025</v>
      </c>
      <c r="M7" s="263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0"/>
        <v/>
      </c>
      <c r="U7" s="109">
        <f t="shared" si="1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Sierra Berg</v>
      </c>
      <c r="C8" s="23" t="str">
        <f>IFERROR(Draw!H8,"")</f>
        <v>Houdini</v>
      </c>
      <c r="D8" s="61" t="s">
        <v>244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4000.0000000069999</v>
      </c>
      <c r="G8" s="107" t="str">
        <f t="shared" si="2"/>
        <v/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16.253000024999999</v>
      </c>
      <c r="M8" s="264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0"/>
        <v>Sierra BergHoudini</v>
      </c>
      <c r="U8" s="109" t="str">
        <f t="shared" si="1"/>
        <v>nt</v>
      </c>
      <c r="X8" s="3" t="str">
        <f>IFERROR(VLOOKUP('Open 2'!F8,$AE$3:$AF$7,2,TRUE),"")</f>
        <v>4D</v>
      </c>
      <c r="Y8" s="8" t="str">
        <f>IFERROR(IF(X8=$Y$1,'Open 2'!F8,""),"")</f>
        <v/>
      </c>
      <c r="Z8" s="8" t="str">
        <f>IFERROR(IF(X8=$Z$1,'Open 2'!F8,""),"")</f>
        <v/>
      </c>
      <c r="AA8" s="8" t="str">
        <f>IFERROR(IF(X8=$AA$1,'Open 2'!F8,""),"")</f>
        <v/>
      </c>
      <c r="AB8" s="8">
        <f>IFERROR(IF($X8=$AB$1,'Open 2'!F8,""),"")</f>
        <v>4000.0000000069999</v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Autumn Maxfield</v>
      </c>
      <c r="C9" s="23" t="str">
        <f>IFERROR(Draw!H9,"")</f>
        <v>Split</v>
      </c>
      <c r="D9" s="60">
        <v>16.303999999999998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4000.0000000079999</v>
      </c>
      <c r="G9" s="107" t="str">
        <f t="shared" si="2"/>
        <v/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0"/>
        <v>Autumn MaxfieldSplit</v>
      </c>
      <c r="U9" s="109">
        <f t="shared" si="1"/>
        <v>16.303999999999998</v>
      </c>
      <c r="X9" s="3" t="str">
        <f>IFERROR(VLOOKUP('Open 2'!F9,$AE$3:$AF$7,2,TRUE),"")</f>
        <v>4D</v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>
        <f>IFERROR(IF($X9=$AB$1,'Open 2'!F9,""),"")</f>
        <v>4000.0000000079999</v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77</v>
      </c>
      <c r="AT9" s="176">
        <f>AT2*$AQ$12</f>
        <v>66</v>
      </c>
      <c r="AU9" s="176">
        <f>AU2*$AQ$12</f>
        <v>44</v>
      </c>
      <c r="AV9" s="176">
        <f>AV2*$AQ$12</f>
        <v>33</v>
      </c>
    </row>
    <row r="10" spans="1:49" ht="16.5" thickBot="1">
      <c r="A10" s="22">
        <f>IF(B10="","",Draw!F10)</f>
        <v>8</v>
      </c>
      <c r="B10" s="23" t="str">
        <f>IFERROR(Draw!G10,"")</f>
        <v>Aleah Marco</v>
      </c>
      <c r="C10" s="23" t="str">
        <f>IFERROR(Draw!H10,"")</f>
        <v>Premier Passum</v>
      </c>
      <c r="D10" s="59" t="s">
        <v>71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3000.0000000089999</v>
      </c>
      <c r="G10" s="107">
        <f t="shared" si="2"/>
        <v>3000.0000000089999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5" t="s">
        <v>4</v>
      </c>
      <c r="N10" s="46" t="str">
        <f>'Open 2'!AF16</f>
        <v>1st</v>
      </c>
      <c r="O10" s="29" t="str">
        <f>'Open 2'!AG16</f>
        <v>Aleah Marco</v>
      </c>
      <c r="P10" s="29" t="str">
        <f>'Open 2'!AH16</f>
        <v>Premier Passum</v>
      </c>
      <c r="Q10" s="47">
        <f>'Open 2'!AI16</f>
        <v>14.935000001000001</v>
      </c>
      <c r="R10" s="181">
        <f>AJ16</f>
        <v>66</v>
      </c>
      <c r="T10" s="21" t="str">
        <f t="shared" si="0"/>
        <v>Aleah MarcoPremier Passum</v>
      </c>
      <c r="U10" s="109" t="str">
        <f t="shared" si="1"/>
        <v>scratch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3000.0000000089999</v>
      </c>
      <c r="AC10" s="8" t="str">
        <f>IFERROR(IF(X10=$AC$1,'Open 2'!F10,""),"")</f>
        <v/>
      </c>
      <c r="AD10" s="18" t="s">
        <v>20</v>
      </c>
      <c r="AE10" s="283" t="s">
        <v>3</v>
      </c>
      <c r="AF10" s="73" t="str">
        <f>IF(AG10="-","-",AD10)</f>
        <v>1st</v>
      </c>
      <c r="AG10" s="73" t="str">
        <f>IFERROR(INDEX('Open 2'!B:F,MATCH(AI10,'Open 2'!$F:$F,0),1),"-")</f>
        <v>Jodie Greig</v>
      </c>
      <c r="AH10" s="73" t="str">
        <f>IFERROR(INDEX('Open 2'!$B:$F,MATCH(AI10,'Open 2'!$F:$F,0),2),"-")</f>
        <v xml:space="preserve">Streakin On Fame </v>
      </c>
      <c r="AI10" s="8">
        <f>IFERROR(SMALL($Y$2:$Y$286,AK10),"-")</f>
        <v>14.253000025</v>
      </c>
      <c r="AJ10" s="178">
        <f>IF(AS4&gt;0,AS4,"")</f>
        <v>77</v>
      </c>
      <c r="AK10">
        <v>1</v>
      </c>
      <c r="AL10"/>
      <c r="AM10"/>
      <c r="AN10" s="270" t="s">
        <v>75</v>
      </c>
      <c r="AO10" s="270"/>
      <c r="AP10" s="270"/>
      <c r="AQ10" s="21">
        <f>K11</f>
        <v>11</v>
      </c>
    </row>
    <row r="11" spans="1:49" ht="16.5" thickBot="1">
      <c r="A11" s="22">
        <f>IF(B11="","",Draw!F11)</f>
        <v>9</v>
      </c>
      <c r="B11" s="23" t="str">
        <f>IFERROR(Draw!G11,"")</f>
        <v>Hayden Seitz</v>
      </c>
      <c r="C11" s="23" t="str">
        <f>IFERROR(Draw!H11,"")</f>
        <v>Jitter</v>
      </c>
      <c r="D11" s="60">
        <v>14.657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4000.0000000099999</v>
      </c>
      <c r="G11" s="107" t="str">
        <f t="shared" si="2"/>
        <v/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60" t="s">
        <v>77</v>
      </c>
      <c r="J11" s="261"/>
      <c r="K11" s="219">
        <f>COUNTIF('Open 2'!$A$2:$A$286,"&gt;0")+COUNTIF('Open 2'!$A$2:$A$286,"co")+COUNTIF('Open 2'!$A$2:$A$286,"yco")-COUNTIF(D2:D286,"scratch")-COUNTIF(F2:F286,"&gt;=4000")</f>
        <v>11</v>
      </c>
      <c r="L11" s="58">
        <v>2</v>
      </c>
      <c r="M11" s="266"/>
      <c r="N11" s="37" t="str">
        <f>IF($K$13&lt;"2","",'Open 2'!AF17)</f>
        <v/>
      </c>
      <c r="O11" s="26" t="str">
        <f>IF(N11="","",'Open 2'!AG17)</f>
        <v/>
      </c>
      <c r="P11" s="26" t="str">
        <f>IF(O11="","",'Open 2'!AH17)</f>
        <v/>
      </c>
      <c r="Q11" s="48" t="str">
        <f>IF(P11="","",'Open 2'!AI17)</f>
        <v/>
      </c>
      <c r="R11" s="182" t="str">
        <f>AJ17</f>
        <v/>
      </c>
      <c r="T11" s="21" t="str">
        <f t="shared" si="0"/>
        <v>Hayden SeitzJitter</v>
      </c>
      <c r="U11" s="109">
        <f t="shared" si="1"/>
        <v>14.657</v>
      </c>
      <c r="X11" s="3" t="str">
        <f>IFERROR(VLOOKUP('Open 2'!F11,$AE$3:$AF$7,2,TRUE),"")</f>
        <v>4D</v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>
        <f>IFERROR(IF($X11=$AB$1,'Open 2'!F11,""),"")</f>
        <v>4000.0000000099999</v>
      </c>
      <c r="AC11" s="8" t="str">
        <f>IFERROR(IF(X11=$AC$1,'Open 2'!F11,""),"")</f>
        <v/>
      </c>
      <c r="AD11" s="18" t="s">
        <v>21</v>
      </c>
      <c r="AE11" s="269"/>
      <c r="AF11" s="73" t="str">
        <f>IF(AG11="-","-",AD11)</f>
        <v>2nd</v>
      </c>
      <c r="AG11" s="73" t="str">
        <f>IFERROR(INDEX('Open 2'!B:F,MATCH(AI11,'Open 2'!$F:$F,0),1),"-")</f>
        <v xml:space="preserve">Pam Elshere </v>
      </c>
      <c r="AH11" s="73" t="str">
        <f>IFERROR(INDEX('Open 2'!$B:$F,MATCH(AI11,'Open 2'!$F:$F,0),2),"-")</f>
        <v>Secret Storm Bug</v>
      </c>
      <c r="AI11" s="8">
        <f>IFERROR(SMALL($Y$2:$Y$286,AK11),"-")</f>
        <v>14.476000023000001</v>
      </c>
      <c r="AJ11" s="178" t="str">
        <f>IF(AS5&gt;0,AS5,"")</f>
        <v/>
      </c>
      <c r="AK11">
        <v>2</v>
      </c>
      <c r="AL11"/>
      <c r="AM11"/>
      <c r="AN11" s="270" t="s">
        <v>76</v>
      </c>
      <c r="AO11" s="270"/>
      <c r="AP11" s="270"/>
      <c r="AQ11" s="176">
        <v>20</v>
      </c>
    </row>
    <row r="12" spans="1:49" ht="16.5" thickBot="1">
      <c r="A12" s="22">
        <f>IF(B12="","",Draw!F12)</f>
        <v>10</v>
      </c>
      <c r="B12" s="23" t="str">
        <f>IFERROR(Draw!G12,"")</f>
        <v>Megan Rosendahl</v>
      </c>
      <c r="C12" s="23" t="str">
        <f>IFERROR(Draw!H12,"")</f>
        <v>A Dash of Jerzy Cash</v>
      </c>
      <c r="D12" s="62">
        <v>15.195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15.195000010999999</v>
      </c>
      <c r="G12" s="107">
        <f t="shared" si="2"/>
        <v>15.195000010999999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66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0"/>
        <v>Megan RosendahlA Dash of Jerzy Cash</v>
      </c>
      <c r="U12" s="109">
        <f t="shared" si="1"/>
        <v>15.195</v>
      </c>
      <c r="X12" s="3" t="str">
        <f>IFERROR(VLOOKUP('Open 2'!F12,$AE$3:$AF$7,2,TRUE),"")</f>
        <v>2D</v>
      </c>
      <c r="Y12" s="8" t="str">
        <f>IFERROR(IF(X12=$Y$1,'Open 2'!F12,""),"")</f>
        <v/>
      </c>
      <c r="Z12" s="8">
        <f>IFERROR(IF(X12=$Z$1,'Open 2'!F12,""),"")</f>
        <v>15.195000010999999</v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69"/>
      <c r="AF12" s="73" t="str">
        <f>IF(AG12="-","-",AD12)</f>
        <v>3rd</v>
      </c>
      <c r="AG12" s="73" t="str">
        <f>IFERROR(INDEX('Open 2'!B:F,MATCH(AI12,'Open 2'!$F:$F,0),1),"-")</f>
        <v>Andrea Hansen</v>
      </c>
      <c r="AH12" s="73" t="str">
        <f>IFERROR(INDEX('Open 2'!$B:$F,MATCH(AI12,'Open 2'!$F:$F,0),2),"-")</f>
        <v>Betty</v>
      </c>
      <c r="AI12" s="8">
        <f>IFERROR(SMALL($Y$2:$Y$286,AK12),"-")</f>
        <v>14.551000004</v>
      </c>
      <c r="AJ12" s="178" t="str">
        <f>IF(AS6&gt;0,AS6,"")</f>
        <v/>
      </c>
      <c r="AK12">
        <v>3</v>
      </c>
      <c r="AL12"/>
      <c r="AM12"/>
      <c r="AN12" s="270" t="s">
        <v>78</v>
      </c>
      <c r="AO12" s="270"/>
      <c r="AP12" s="270"/>
      <c r="AQ12" s="176">
        <f>(AQ10*AQ11)+K3</f>
        <v>220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2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1</v>
      </c>
      <c r="L13" s="58">
        <v>4</v>
      </c>
      <c r="M13" s="266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0"/>
        <v/>
      </c>
      <c r="U13" s="109">
        <f t="shared" si="1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9"/>
      <c r="AF13" s="73" t="str">
        <f>IF(AG13="-","-",AD13)</f>
        <v>4th</v>
      </c>
      <c r="AG13" s="73" t="str">
        <f>IFERROR(INDEX('Open 2'!B:F,MATCH(AI13,'Open 2'!$F:$F,0),1),"-")</f>
        <v>Nicole VanWell</v>
      </c>
      <c r="AH13" s="73" t="str">
        <f>IFERROR(INDEX('Open 2'!$B:$F,MATCH(AI13,'Open 2'!$F:$F,0),2),"-")</f>
        <v>Flirty Ways</v>
      </c>
      <c r="AI13" s="8">
        <f>IFERROR(SMALL($Y$2:$Y$286,AK13),"-")</f>
        <v>14.55500002</v>
      </c>
      <c r="AJ13" s="178" t="str">
        <f>IF(AS7&gt;0,AS7,"")</f>
        <v/>
      </c>
      <c r="AK13">
        <v>4</v>
      </c>
      <c r="AL13"/>
      <c r="AM13"/>
      <c r="AN13" s="270" t="s">
        <v>10</v>
      </c>
      <c r="AO13" s="270"/>
      <c r="AP13" s="270"/>
      <c r="AQ13" s="176">
        <f>AQ12*AW2</f>
        <v>219.99999999999997</v>
      </c>
    </row>
    <row r="14" spans="1:49" ht="16.5" thickBot="1">
      <c r="A14" s="22">
        <f>IF(B14="","",Draw!F14)</f>
        <v>11</v>
      </c>
      <c r="B14" s="23" t="str">
        <f>IFERROR(Draw!G14,"")</f>
        <v>Josey Fey</v>
      </c>
      <c r="C14" s="23" t="str">
        <f>IFERROR(Draw!H14,"")</f>
        <v>Gunning for Fame</v>
      </c>
      <c r="D14" s="59">
        <v>14.577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14.577000012999999</v>
      </c>
      <c r="G14" s="107">
        <f t="shared" si="2"/>
        <v>14.577000012999999</v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67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0"/>
        <v>Josey FeyGunning for Fame</v>
      </c>
      <c r="U14" s="109">
        <f t="shared" si="1"/>
        <v>14.577</v>
      </c>
      <c r="X14" s="3" t="str">
        <f>IFERROR(VLOOKUP('Open 2'!F14,$AE$3:$AF$7,2,TRUE),"")</f>
        <v>1D</v>
      </c>
      <c r="Y14" s="8">
        <f>IFERROR(IF(X14=$Y$1,'Open 2'!F14,""),"")</f>
        <v>14.577000012999999</v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69"/>
      <c r="AF14" s="73" t="str">
        <f>IF(AG14="-","-",AD14)</f>
        <v>5th</v>
      </c>
      <c r="AG14" s="73" t="str">
        <f>IFERROR(INDEX('Open 2'!B:F,MATCH(AI14,'Open 2'!$F:$F,0),1),"-")</f>
        <v>Josey Fey</v>
      </c>
      <c r="AH14" s="73" t="str">
        <f>IFERROR(INDEX('Open 2'!$B:$F,MATCH(AI14,'Open 2'!$F:$F,0),2),"-")</f>
        <v>Gunning for Fame</v>
      </c>
      <c r="AI14" s="8">
        <f>IFERROR(SMALL($Y$2:$Y$286,AK14),"-")</f>
        <v>14.577000012999999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Kendall Gillen</v>
      </c>
      <c r="C15" s="23" t="str">
        <f>IFERROR(Draw!H15,"")</f>
        <v>Blue Eyes</v>
      </c>
      <c r="D15" s="64">
        <v>14.916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4000.0000000139999</v>
      </c>
      <c r="G15" s="107" t="str">
        <f t="shared" si="2"/>
        <v/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75" t="s">
        <v>27</v>
      </c>
      <c r="K15" s="276"/>
      <c r="L15" s="58"/>
      <c r="M15" s="41"/>
      <c r="N15" s="50"/>
      <c r="O15" s="28"/>
      <c r="P15" s="28"/>
      <c r="Q15" s="51"/>
      <c r="R15" s="184"/>
      <c r="T15" s="21" t="str">
        <f t="shared" si="0"/>
        <v>Kendall GillenBlue Eyes</v>
      </c>
      <c r="U15" s="109">
        <f t="shared" si="1"/>
        <v>14.916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4000.0000000139999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Kennedy Stephens</v>
      </c>
      <c r="C16" s="23" t="str">
        <f>IFERROR(Draw!H16,"")</f>
        <v>Hollywood</v>
      </c>
      <c r="D16" s="60">
        <v>14.712999999999999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4000.0000000149998</v>
      </c>
      <c r="G16" s="107" t="str">
        <f t="shared" si="2"/>
        <v/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7" t="s">
        <v>5</v>
      </c>
      <c r="N16" s="46" t="str">
        <f>'Open 2'!AF22</f>
        <v>1st</v>
      </c>
      <c r="O16" s="29" t="str">
        <f>'Open 2'!AG22</f>
        <v>Elaine Hagen</v>
      </c>
      <c r="P16" s="29" t="str">
        <f>'Open 2'!AH22</f>
        <v>MIP Streakin Seltzer</v>
      </c>
      <c r="Q16" s="47">
        <f>'Open 2'!AI22</f>
        <v>15.602000021</v>
      </c>
      <c r="R16" s="181">
        <f>AJ22</f>
        <v>44</v>
      </c>
      <c r="T16" s="21" t="str">
        <f t="shared" si="0"/>
        <v>Kennedy StephensHollywood</v>
      </c>
      <c r="U16" s="109">
        <f t="shared" si="1"/>
        <v>14.712999999999999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4000.0000000149998</v>
      </c>
      <c r="AC16" s="8" t="str">
        <f>IFERROR(IF(X16=$AC$1,'Open 2'!F16,""),"")</f>
        <v/>
      </c>
      <c r="AD16" s="18" t="s">
        <v>20</v>
      </c>
      <c r="AE16" s="269" t="s">
        <v>4</v>
      </c>
      <c r="AF16" s="19" t="str">
        <f>IF(AG16="-","-",AD16)</f>
        <v>1st</v>
      </c>
      <c r="AG16" s="19" t="str">
        <f>IFERROR(INDEX('Open 2'!B:F,MATCH(AI16,'Open 2'!F:F,0),1),"-")</f>
        <v>Aleah Marco</v>
      </c>
      <c r="AH16" s="19" t="str">
        <f>IFERROR(INDEX('Open 2'!B:F,MATCH(AI16,'Open 2'!F:F,0),2),"-")</f>
        <v>Premier Passum</v>
      </c>
      <c r="AI16" s="4">
        <f>IFERROR(SMALL($Z$2:$Z$286,AK16),"-")</f>
        <v>14.935000001000001</v>
      </c>
      <c r="AJ16" s="179">
        <f>IF(AT4&gt;0,AT4,"")</f>
        <v>66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Hatty Fey</v>
      </c>
      <c r="C17" s="23" t="str">
        <f>IFERROR(Draw!H17,"")</f>
        <v>Maude</v>
      </c>
      <c r="D17" s="60">
        <v>14.814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4000.0000000159998</v>
      </c>
      <c r="G17" s="107" t="str">
        <f t="shared" si="2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8"/>
      <c r="N17" s="37" t="str">
        <f>IF($K$13&lt;"2","",'Open 2'!AF23)</f>
        <v/>
      </c>
      <c r="O17" s="26" t="str">
        <f>IF(N17="","",'Open 2'!AG23)</f>
        <v/>
      </c>
      <c r="P17" s="26" t="str">
        <f>IF(O17="","",'Open 2'!AH23)</f>
        <v/>
      </c>
      <c r="Q17" s="48" t="str">
        <f>IF(P17="","",'Open 2'!AI23)</f>
        <v/>
      </c>
      <c r="R17" s="182" t="str">
        <f>AJ23</f>
        <v/>
      </c>
      <c r="T17" s="21" t="str">
        <f t="shared" si="0"/>
        <v>Hatty FeyMaude</v>
      </c>
      <c r="U17" s="109">
        <f t="shared" si="1"/>
        <v>14.814</v>
      </c>
      <c r="X17" s="3" t="str">
        <f>IFERROR(VLOOKUP('Open 2'!F17,$AE$3:$AF$7,2,TRUE),"")</f>
        <v>4D</v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>
        <f>IFERROR(IF($X17=$AB$1,'Open 2'!F17,""),"")</f>
        <v>4000.0000000159998</v>
      </c>
      <c r="AC17" s="8" t="str">
        <f>IFERROR(IF(X17=$AC$1,'Open 2'!F17,""),"")</f>
        <v/>
      </c>
      <c r="AD17" s="18" t="s">
        <v>21</v>
      </c>
      <c r="AE17" s="269"/>
      <c r="AF17" s="19" t="str">
        <f>IF(AG17="-","-",AD17)</f>
        <v>2nd</v>
      </c>
      <c r="AG17" s="19" t="str">
        <f>IFERROR(INDEX('Open 2'!B:F,MATCH(AI17,'Open 2'!F:F,0),1),"-")</f>
        <v>Megan Rosendahl</v>
      </c>
      <c r="AH17" s="19" t="str">
        <f>IFERROR(INDEX('Open 2'!B:F,MATCH(AI17,'Open 2'!F:F,0),2),"-")</f>
        <v>A Dash of Jerzy Cash</v>
      </c>
      <c r="AI17" s="4">
        <f>IFERROR(SMALL($Z$2:$Z$286,AK17),"-")</f>
        <v>15.195000010999999</v>
      </c>
      <c r="AJ17" s="179" t="str">
        <f>IF(AT5&gt;0,AT5,"")</f>
        <v/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Hatty Fey</v>
      </c>
      <c r="C18" s="23" t="str">
        <f>IFERROR(Draw!H18,"")</f>
        <v>Sage</v>
      </c>
      <c r="D18" s="61">
        <v>15.303000000000001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4000.0000000169998</v>
      </c>
      <c r="G18" s="107" t="str">
        <f t="shared" si="2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8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0"/>
        <v>Hatty FeySage</v>
      </c>
      <c r="U18" s="109">
        <f t="shared" si="1"/>
        <v>15.303000000000001</v>
      </c>
      <c r="X18" s="3" t="str">
        <f>IFERROR(VLOOKUP('Open 2'!F18,$AE$3:$AF$7,2,TRUE),"")</f>
        <v>4D</v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>
        <f>IFERROR(IF($X18=$AB$1,'Open 2'!F18,""),"")</f>
        <v>4000.0000000169998</v>
      </c>
      <c r="AC18" s="8" t="str">
        <f>IFERROR(IF(X18=$AC$1,'Open 2'!F18,""),"")</f>
        <v/>
      </c>
      <c r="AD18" s="18" t="s">
        <v>24</v>
      </c>
      <c r="AE18" s="269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2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8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0"/>
        <v/>
      </c>
      <c r="U19" s="109">
        <f t="shared" si="1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9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>co</v>
      </c>
      <c r="B20" s="23" t="str">
        <f>IFERROR(Draw!G20,"")</f>
        <v>Sara Jo Lamb</v>
      </c>
      <c r="C20" s="23" t="str">
        <f>IFERROR(Draw!H20,"")</f>
        <v>Last Chance Fling</v>
      </c>
      <c r="D20" s="59">
        <v>914.06799999999998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914.06800001900001</v>
      </c>
      <c r="G20" s="107">
        <f t="shared" si="2"/>
        <v>914.06800001900001</v>
      </c>
      <c r="H20" s="90">
        <f>IF(A20="co",VLOOKUP(CONCATENATE(B20,C20),'Open 1'!T:U,2,FALSE),IF(A20="yco",VLOOKUP(CONCATENATE(B20,C20),Youth!S:U,2,FALSE),IF(OR(AND(D20&gt;1,D20&lt;1050),D20="nt",D20="",D20="scratch"),"","Not valid")))</f>
        <v>914.06799999999998</v>
      </c>
      <c r="M20" s="279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0"/>
        <v>Sara Jo LambLast Chance Fling</v>
      </c>
      <c r="U20" s="109">
        <f t="shared" si="1"/>
        <v>914.06799999999998</v>
      </c>
      <c r="X20" s="3" t="str">
        <f>IFERROR(VLOOKUP('Open 2'!F20,$AE$3:$AF$7,2,TRUE),"")</f>
        <v>4D</v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>
        <f>IFERROR(IF($X20=$AB$1,'Open 2'!F20,""),"")</f>
        <v>914.06800001900001</v>
      </c>
      <c r="AC20" s="8" t="str">
        <f>IFERROR(IF(X20=$AC$1,'Open 2'!F20,""),"")</f>
        <v/>
      </c>
      <c r="AD20" s="18" t="s">
        <v>26</v>
      </c>
      <c r="AE20" s="269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>co</v>
      </c>
      <c r="B21" s="23" t="str">
        <f>IFERROR(Draw!G21,"")</f>
        <v>Nicole VanWell</v>
      </c>
      <c r="C21" s="23" t="str">
        <f>IFERROR(Draw!H21,"")</f>
        <v>Flirty Ways</v>
      </c>
      <c r="D21" s="60">
        <v>14.555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14.55500002</v>
      </c>
      <c r="G21" s="107">
        <f t="shared" si="2"/>
        <v>14.55500002</v>
      </c>
      <c r="H21" s="90">
        <f>IF(A21="co",VLOOKUP(CONCATENATE(B21,C21),'Open 1'!T:U,2,FALSE),IF(A21="yco",VLOOKUP(CONCATENATE(B21,C21),Youth!S:U,2,FALSE),IF(OR(AND(D21&gt;1,D21&lt;1050),D21="nt",D21="",D21="scratch"),"","Not valid")))</f>
        <v>14.555</v>
      </c>
      <c r="K21" s="56"/>
      <c r="M21" s="42"/>
      <c r="N21" s="50"/>
      <c r="O21" s="28"/>
      <c r="P21" s="28"/>
      <c r="Q21" s="51"/>
      <c r="R21" s="184"/>
      <c r="T21" s="21" t="str">
        <f t="shared" si="0"/>
        <v>Nicole VanWellFlirty Ways</v>
      </c>
      <c r="U21" s="109">
        <f t="shared" si="1"/>
        <v>14.555</v>
      </c>
      <c r="X21" s="3" t="str">
        <f>IFERROR(VLOOKUP('Open 2'!F21,$AE$3:$AF$7,2,TRUE),"")</f>
        <v>1D</v>
      </c>
      <c r="Y21" s="8">
        <f>IFERROR(IF(X21=$Y$1,'Open 2'!F21,""),"")</f>
        <v>14.55500002</v>
      </c>
      <c r="Z21" s="8" t="str">
        <f>IFERROR(IF(X21=$Z$1,'Open 2'!F21,""),"")</f>
        <v/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>co</v>
      </c>
      <c r="B22" s="23" t="str">
        <f>IFERROR(Draw!G22,"")</f>
        <v>Elaine Hagen</v>
      </c>
      <c r="C22" s="23" t="str">
        <f>IFERROR(Draw!H22,"")</f>
        <v>MIP Streakin Seltzer</v>
      </c>
      <c r="D22" s="60">
        <v>15.602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15.602000021</v>
      </c>
      <c r="G22" s="107">
        <f t="shared" si="2"/>
        <v>15.602000021</v>
      </c>
      <c r="H22" s="90">
        <f>IF(A22="co",VLOOKUP(CONCATENATE(B22,C22),'Open 1'!T:U,2,FALSE),IF(A22="yco",VLOOKUP(CONCATENATE(B22,C22),Youth!S:U,2,FALSE),IF(OR(AND(D22&gt;1,D22&lt;1050),D22="nt",D22="",D22="scratch"),"","Not valid")))</f>
        <v>15.602</v>
      </c>
      <c r="J22" s="58"/>
      <c r="M22" s="280" t="s">
        <v>6</v>
      </c>
      <c r="N22" s="46" t="str">
        <f>'Open 2'!AF28</f>
        <v>-</v>
      </c>
      <c r="O22" s="29" t="str">
        <f>'Open 2'!AG28</f>
        <v>-</v>
      </c>
      <c r="P22" s="29" t="str">
        <f>'Open 2'!AH28</f>
        <v>-</v>
      </c>
      <c r="Q22" s="47" t="str">
        <f>'Open 2'!AI28</f>
        <v>-</v>
      </c>
      <c r="R22" s="181">
        <f>AJ28</f>
        <v>33</v>
      </c>
      <c r="T22" s="21" t="str">
        <f t="shared" si="0"/>
        <v>Elaine HagenMIP Streakin Seltzer</v>
      </c>
      <c r="U22" s="109">
        <f t="shared" si="1"/>
        <v>15.602</v>
      </c>
      <c r="X22" s="3" t="str">
        <f>IFERROR(VLOOKUP('Open 2'!F22,$AE$3:$AF$7,2,TRUE),"")</f>
        <v>3D</v>
      </c>
      <c r="Y22" s="8" t="str">
        <f>IFERROR(IF(X22=$Y$1,'Open 2'!F22,""),"")</f>
        <v/>
      </c>
      <c r="Z22" s="8" t="str">
        <f>IFERROR(IF(X22=$Z$1,'Open 2'!F22,""),"")</f>
        <v/>
      </c>
      <c r="AA22" s="8">
        <f>IFERROR(IF(X22=$AA$1,'Open 2'!F22,""),"")</f>
        <v>15.602000021</v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69" t="s">
        <v>5</v>
      </c>
      <c r="AF22" s="19" t="str">
        <f>IF(AG22="-","-","1st")</f>
        <v>1st</v>
      </c>
      <c r="AG22" s="19" t="str">
        <f>IFERROR(INDEX('Open 2'!B:F,MATCH(AI22,'Open 2'!F:F,0),1),"-")</f>
        <v>Elaine Hagen</v>
      </c>
      <c r="AH22" s="19" t="str">
        <f>IFERROR(INDEX('Open 2'!B:F,MATCH(AI22,'Open 2'!F:F,0),2),"-")</f>
        <v>MIP Streakin Seltzer</v>
      </c>
      <c r="AI22" s="78">
        <f>IFERROR(SMALL($AA$2:$AA$286,AK22),"-")</f>
        <v>15.602000021</v>
      </c>
      <c r="AJ22" s="179">
        <f>IF(AU4&gt;0,AU4,"")</f>
        <v>44</v>
      </c>
      <c r="AK22">
        <v>1</v>
      </c>
      <c r="AL22"/>
      <c r="AM22"/>
    </row>
    <row r="23" spans="1:39">
      <c r="A23" s="22" t="str">
        <f>IF(B23="","",Draw!F23)</f>
        <v>co</v>
      </c>
      <c r="B23" s="23" t="str">
        <f>IFERROR(Draw!G23,"")</f>
        <v>Elaine Hagen</v>
      </c>
      <c r="C23" s="23" t="str">
        <f>IFERROR(Draw!H23,"")</f>
        <v>Sawyers Jo Glo</v>
      </c>
      <c r="D23" s="60">
        <v>15.726000000000001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15.726000022000001</v>
      </c>
      <c r="G23" s="107">
        <f t="shared" si="2"/>
        <v>15.726000022000001</v>
      </c>
      <c r="H23" s="90">
        <f>IF(A23="co",VLOOKUP(CONCATENATE(B23,C23),'Open 1'!T:U,2,FALSE),IF(A23="yco",VLOOKUP(CONCATENATE(B23,C23),Youth!S:U,2,FALSE),IF(OR(AND(D23&gt;1,D23&lt;1050),D23="nt",D23="",D23="scratch"),"","Not valid")))</f>
        <v>15.726000000000001</v>
      </c>
      <c r="J23" s="56"/>
      <c r="M23" s="281"/>
      <c r="N23" s="37" t="str">
        <f>IF($K$13&lt;"2","",'Open 2'!AF29)</f>
        <v/>
      </c>
      <c r="O23" s="26" t="str">
        <f>IF(N23="","",'Open 2'!AG29)</f>
        <v/>
      </c>
      <c r="P23" s="26" t="str">
        <f>IF(O23="","",'Open 2'!AH29)</f>
        <v/>
      </c>
      <c r="Q23" s="48" t="str">
        <f>IF(P23="","",'Open 2'!AI29)</f>
        <v/>
      </c>
      <c r="R23" s="182" t="str">
        <f>AJ29</f>
        <v/>
      </c>
      <c r="T23" s="21" t="str">
        <f t="shared" si="0"/>
        <v>Elaine HagenSawyers Jo Glo</v>
      </c>
      <c r="U23" s="109">
        <f t="shared" si="1"/>
        <v>15.726000000000001</v>
      </c>
      <c r="X23" s="3" t="str">
        <f>IFERROR(VLOOKUP('Open 2'!F23,$AE$3:$AF$7,2,TRUE),"")</f>
        <v>3D</v>
      </c>
      <c r="Y23" s="8" t="str">
        <f>IFERROR(IF(X23=$Y$1,'Open 2'!F23,""),"")</f>
        <v/>
      </c>
      <c r="Z23" s="8" t="str">
        <f>IFERROR(IF(X23=$Z$1,'Open 2'!F23,""),"")</f>
        <v/>
      </c>
      <c r="AA23" s="8">
        <f>IFERROR(IF(X23=$AA$1,'Open 2'!F23,""),"")</f>
        <v>15.726000022000001</v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69"/>
      <c r="AF23" s="19" t="str">
        <f>IF(AG23="-","-","2nd")</f>
        <v>2nd</v>
      </c>
      <c r="AG23" s="19" t="str">
        <f>IFERROR(INDEX('Open 2'!B:F,MATCH(AI23,'Open 2'!F:F,0),1),"-")</f>
        <v>Elaine Hagen</v>
      </c>
      <c r="AH23" s="19" t="str">
        <f>IFERROR(INDEX('Open 2'!B:F,MATCH(AI23,'Open 2'!F:F,0),2),"-")</f>
        <v>Sawyers Jo Glo</v>
      </c>
      <c r="AI23" s="78">
        <f>IFERROR(SMALL($AA$2:$AA$286,AK23),"-")</f>
        <v>15.726000022000001</v>
      </c>
      <c r="AJ23" s="179" t="str">
        <f>IF(AU5&gt;0,AU5,"")</f>
        <v/>
      </c>
      <c r="AK23">
        <v>2</v>
      </c>
      <c r="AL23"/>
      <c r="AM23"/>
    </row>
    <row r="24" spans="1:39">
      <c r="A24" s="22" t="str">
        <f>IF(B24="","",Draw!F24)</f>
        <v>co</v>
      </c>
      <c r="B24" s="23" t="str">
        <f>IFERROR(Draw!G24,"")</f>
        <v xml:space="preserve">Pam Elshere </v>
      </c>
      <c r="C24" s="23" t="str">
        <f>IFERROR(Draw!H24,"")</f>
        <v>Secret Storm Bug</v>
      </c>
      <c r="D24" s="62">
        <v>14.476000000000001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14.476000023000001</v>
      </c>
      <c r="G24" s="107">
        <f t="shared" si="2"/>
        <v>14.476000023000001</v>
      </c>
      <c r="H24" s="90">
        <f>IF(A24="co",VLOOKUP(CONCATENATE(B24,C24),'Open 1'!T:U,2,FALSE),IF(A24="yco",VLOOKUP(CONCATENATE(B24,C24),Youth!S:U,2,FALSE),IF(OR(AND(D24&gt;1,D24&lt;1050),D24="nt",D24="",D24="scratch"),"","Not valid")))</f>
        <v>14.476000000000001</v>
      </c>
      <c r="M24" s="281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0"/>
        <v>Pam Elshere Secret Storm Bug</v>
      </c>
      <c r="U24" s="109">
        <f t="shared" si="1"/>
        <v>14.476000000000001</v>
      </c>
      <c r="X24" s="3" t="str">
        <f>IFERROR(VLOOKUP('Open 2'!F24,$AE$3:$AF$7,2,TRUE),"")</f>
        <v>1D</v>
      </c>
      <c r="Y24" s="8">
        <f>IFERROR(IF(X24=$Y$1,'Open 2'!F24,""),"")</f>
        <v>14.476000023000001</v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9"/>
      <c r="AF24" s="19" t="str">
        <f>IF(AG24="-","-","3rd")</f>
        <v>3rd</v>
      </c>
      <c r="AG24" s="19" t="str">
        <f>IFERROR(INDEX('Open 2'!B:F,MATCH(AI24,'Open 2'!F:F,0),1),"-")</f>
        <v>Natalie Hieronimus</v>
      </c>
      <c r="AH24" s="19" t="str">
        <f>IFERROR(INDEX('Open 2'!B:F,MATCH(AI24,'Open 2'!F:F,0),2),"-")</f>
        <v>SH Chrome Ta Fame</v>
      </c>
      <c r="AI24" s="78">
        <f>IFERROR(SMALL($AA$2:$AA$286,AK24),"-")</f>
        <v>15.999000003000001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2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81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0"/>
        <v/>
      </c>
      <c r="U25" s="109">
        <f t="shared" si="1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9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>co</v>
      </c>
      <c r="B26" s="23" t="str">
        <f>IFERROR(Draw!G26,"")</f>
        <v>Jodie Greig</v>
      </c>
      <c r="C26" s="23" t="str">
        <f>IFERROR(Draw!H26,"")</f>
        <v xml:space="preserve">Streakin On Fame </v>
      </c>
      <c r="D26" s="168">
        <v>14.253</v>
      </c>
      <c r="E26" s="106">
        <v>2.4999999999999999E-8</v>
      </c>
      <c r="F26" s="107">
        <f>IF(INDEX('Enter Draw'!$D$3:$D$252,MATCH(CONCATENATE('Open 2'!B26,'Open 2'!C26),'Enter Draw'!$Z$3:$Z$252,0),1)="oy",4000+E26,IF(D26="scratch",3000+E26,IF(D26="nt",1000+E26,IF((D26+E26)&gt;5,D26+E26,""))))</f>
        <v>14.253000025</v>
      </c>
      <c r="G26" s="107">
        <f t="shared" si="2"/>
        <v>14.253000025</v>
      </c>
      <c r="H26" s="90">
        <f>IF(A26="co",VLOOKUP(CONCATENATE(B26,C26),'Open 1'!T:U,2,FALSE),IF(A26="yco",VLOOKUP(CONCATENATE(B26,C26),Youth!S:U,2,FALSE),IF(OR(AND(D26&gt;1,D26&lt;1050),D26="nt",D26="",D26="scratch"),"","Not valid")))</f>
        <v>14.253</v>
      </c>
      <c r="M26" s="282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0"/>
        <v xml:space="preserve">Jodie GreigStreakin On Fame </v>
      </c>
      <c r="U26" s="109">
        <f t="shared" si="1"/>
        <v>14.253</v>
      </c>
      <c r="X26" s="3" t="str">
        <f>IFERROR(VLOOKUP('Open 2'!F26,$AE$3:$AF$7,2,TRUE),"")</f>
        <v>1D</v>
      </c>
      <c r="Y26" s="8">
        <f>IFERROR(IF(X26=$Y$1,'Open 2'!F26,""),"")</f>
        <v>14.253000025</v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9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/>
      <c r="C27" s="23"/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2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0"/>
        <v/>
      </c>
      <c r="U27" s="109">
        <f t="shared" si="1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2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71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0"/>
        <v/>
      </c>
      <c r="U28" s="109">
        <f t="shared" si="1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9" t="s">
        <v>6</v>
      </c>
      <c r="AF28" s="19" t="str">
        <f>IF(AG28="-","-","1st")</f>
        <v>-</v>
      </c>
      <c r="AG28" s="19" t="str">
        <f>IFERROR(INDEX('Open 2'!B:F,MATCH(AI28,'Open 2'!F:F,0),1),"-")</f>
        <v>-</v>
      </c>
      <c r="AH28" s="19" t="str">
        <f>IFERROR(INDEX('Open 2'!B:F,MATCH(AI28,'Open 2'!F:F,0),2),"-")</f>
        <v>-</v>
      </c>
      <c r="AI28" s="4" t="str">
        <f>IFERROR(IF(SMALL($AB$2:$AB$286,AK28)&lt;900,SMALL($AB$2:$AB$286,AK28),"-"),"-")</f>
        <v>-</v>
      </c>
      <c r="AJ28" s="179">
        <f>IF(AV4&gt;0,AV4,"")</f>
        <v>33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2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72"/>
      <c r="N29" s="37" t="str">
        <f>IF($K$13&lt;"2","",'Open 2'!AF35)</f>
        <v/>
      </c>
      <c r="O29" s="26" t="str">
        <f>IF(N29="","",'Open 2'!AG35)</f>
        <v/>
      </c>
      <c r="P29" s="26" t="str">
        <f>IF(O29="","",'Open 2'!AH35)</f>
        <v/>
      </c>
      <c r="Q29" s="48" t="str">
        <f>IF(P29="","",'Open 2'!AI35)</f>
        <v/>
      </c>
      <c r="R29" s="182"/>
      <c r="T29" s="21" t="str">
        <f t="shared" si="0"/>
        <v/>
      </c>
      <c r="U29" s="109">
        <f t="shared" si="1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9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9" t="str">
        <f>IF(AV5&gt;0,AV5,"")</f>
        <v/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2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72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0"/>
        <v/>
      </c>
      <c r="U30" s="109">
        <f t="shared" si="1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9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2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72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0"/>
        <v/>
      </c>
      <c r="U31" s="109">
        <f t="shared" si="1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9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2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3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0"/>
        <v/>
      </c>
      <c r="U32" s="109">
        <f t="shared" si="1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9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2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0"/>
        <v/>
      </c>
      <c r="U33" s="109">
        <f t="shared" si="1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2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0"/>
        <v/>
      </c>
      <c r="U34" s="109">
        <f t="shared" si="1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9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2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0"/>
        <v/>
      </c>
      <c r="U35" s="109">
        <f t="shared" si="1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9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2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0"/>
        <v/>
      </c>
      <c r="U36" s="109">
        <f t="shared" si="1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9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2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0"/>
        <v/>
      </c>
      <c r="U37" s="109">
        <f t="shared" si="1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9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2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0"/>
        <v/>
      </c>
      <c r="U38" s="109">
        <f t="shared" si="1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4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2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0"/>
        <v/>
      </c>
      <c r="U39" s="109">
        <f t="shared" si="1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2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0"/>
        <v/>
      </c>
      <c r="U40" s="109">
        <f t="shared" si="1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2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0"/>
        <v/>
      </c>
      <c r="U41" s="109">
        <f t="shared" si="1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2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0"/>
        <v/>
      </c>
      <c r="U42" s="109">
        <f t="shared" si="1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2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0"/>
        <v/>
      </c>
      <c r="U43" s="109">
        <f t="shared" si="1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2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0"/>
        <v/>
      </c>
      <c r="U44" s="109">
        <f t="shared" si="1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2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0"/>
        <v/>
      </c>
      <c r="U45" s="109">
        <f t="shared" si="1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2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0"/>
        <v/>
      </c>
      <c r="U46" s="109">
        <f t="shared" si="1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2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0"/>
        <v/>
      </c>
      <c r="U47" s="109">
        <f t="shared" si="1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2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0"/>
        <v/>
      </c>
      <c r="U48" s="109">
        <f t="shared" si="1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2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0"/>
        <v/>
      </c>
      <c r="U49" s="109">
        <f t="shared" si="1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2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0"/>
        <v/>
      </c>
      <c r="U50" s="109">
        <f t="shared" si="1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2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0"/>
        <v/>
      </c>
      <c r="U51" s="109">
        <f t="shared" si="1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2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0"/>
        <v/>
      </c>
      <c r="U52" s="109">
        <f t="shared" si="1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2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0"/>
        <v/>
      </c>
      <c r="U53" s="109">
        <f t="shared" si="1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2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0"/>
        <v/>
      </c>
      <c r="U54" s="109">
        <f t="shared" si="1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2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0"/>
        <v/>
      </c>
      <c r="U55" s="109">
        <f t="shared" si="1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2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0"/>
        <v/>
      </c>
      <c r="U56" s="109">
        <f t="shared" si="1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2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0"/>
        <v/>
      </c>
      <c r="U57" s="109">
        <f t="shared" si="1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2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0"/>
        <v/>
      </c>
      <c r="U58" s="109">
        <f t="shared" si="1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2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0"/>
        <v/>
      </c>
      <c r="U59" s="109">
        <f t="shared" si="1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2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0"/>
        <v/>
      </c>
      <c r="U60" s="109">
        <f t="shared" si="1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2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0"/>
        <v/>
      </c>
      <c r="U61" s="109">
        <f t="shared" si="1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2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0"/>
        <v/>
      </c>
      <c r="U62" s="109">
        <f t="shared" si="1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2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0"/>
        <v/>
      </c>
      <c r="U63" s="109">
        <f t="shared" si="1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2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0"/>
        <v/>
      </c>
      <c r="U64" s="109">
        <f t="shared" si="1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2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0"/>
        <v/>
      </c>
      <c r="U65" s="109">
        <f t="shared" si="1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2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ref="T66:T129" si="4">CONCATENATE(B66,C66)</f>
        <v/>
      </c>
      <c r="U66" s="109">
        <f t="shared" ref="U66:U129" si="5">D66</f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6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si="4"/>
        <v/>
      </c>
      <c r="U67" s="109">
        <f t="shared" si="5"/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6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4"/>
        <v/>
      </c>
      <c r="U68" s="109">
        <f t="shared" si="5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6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4"/>
        <v/>
      </c>
      <c r="U69" s="109">
        <f t="shared" si="5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6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4"/>
        <v/>
      </c>
      <c r="U70" s="109">
        <f t="shared" si="5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6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4"/>
        <v/>
      </c>
      <c r="U71" s="109">
        <f t="shared" si="5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6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4"/>
        <v/>
      </c>
      <c r="U72" s="109">
        <f t="shared" si="5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6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4"/>
        <v/>
      </c>
      <c r="U73" s="109">
        <f t="shared" si="5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6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4"/>
        <v/>
      </c>
      <c r="U74" s="109">
        <f t="shared" si="5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6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4"/>
        <v/>
      </c>
      <c r="U75" s="109">
        <f t="shared" si="5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6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4"/>
        <v/>
      </c>
      <c r="U76" s="109">
        <f t="shared" si="5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6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4"/>
        <v/>
      </c>
      <c r="U77" s="109">
        <f t="shared" si="5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6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4"/>
        <v/>
      </c>
      <c r="U78" s="109">
        <f t="shared" si="5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6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4"/>
        <v/>
      </c>
      <c r="U79" s="109">
        <f t="shared" si="5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6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4"/>
        <v/>
      </c>
      <c r="U80" s="109">
        <f t="shared" si="5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6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4"/>
        <v/>
      </c>
      <c r="U81" s="109">
        <f t="shared" si="5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6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4"/>
        <v/>
      </c>
      <c r="U82" s="109">
        <f t="shared" si="5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6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4"/>
        <v/>
      </c>
      <c r="U83" s="109">
        <f t="shared" si="5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6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4"/>
        <v/>
      </c>
      <c r="U84" s="109">
        <f t="shared" si="5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6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4"/>
        <v/>
      </c>
      <c r="U85" s="109">
        <f t="shared" si="5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6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4"/>
        <v/>
      </c>
      <c r="U86" s="109">
        <f t="shared" si="5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6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4"/>
        <v/>
      </c>
      <c r="U87" s="109">
        <f t="shared" si="5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6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4"/>
        <v/>
      </c>
      <c r="U88" s="109">
        <f t="shared" si="5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6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4"/>
        <v/>
      </c>
      <c r="U89" s="109">
        <f t="shared" si="5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6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4"/>
        <v/>
      </c>
      <c r="U90" s="109">
        <f t="shared" si="5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6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4"/>
        <v/>
      </c>
      <c r="U91" s="109">
        <f t="shared" si="5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6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4"/>
        <v/>
      </c>
      <c r="U92" s="109">
        <f t="shared" si="5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6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4"/>
        <v/>
      </c>
      <c r="U93" s="109">
        <f t="shared" si="5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6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4"/>
        <v/>
      </c>
      <c r="U94" s="109">
        <f t="shared" si="5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6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4"/>
        <v/>
      </c>
      <c r="U95" s="109">
        <f t="shared" si="5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6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4"/>
        <v/>
      </c>
      <c r="U96" s="109">
        <f t="shared" si="5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6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4"/>
        <v/>
      </c>
      <c r="U97" s="109">
        <f t="shared" si="5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6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4"/>
        <v/>
      </c>
      <c r="U98" s="109">
        <f t="shared" si="5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6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4"/>
        <v/>
      </c>
      <c r="U99" s="109">
        <f t="shared" si="5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6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4"/>
        <v/>
      </c>
      <c r="U100" s="109">
        <f t="shared" si="5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6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4"/>
        <v/>
      </c>
      <c r="U101" s="109">
        <f t="shared" si="5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6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4"/>
        <v/>
      </c>
      <c r="U102" s="109">
        <f t="shared" si="5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6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4"/>
        <v/>
      </c>
      <c r="U103" s="109">
        <f t="shared" si="5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6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4"/>
        <v/>
      </c>
      <c r="U104" s="109">
        <f t="shared" si="5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6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4"/>
        <v/>
      </c>
      <c r="U105" s="109">
        <f t="shared" si="5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6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4"/>
        <v/>
      </c>
      <c r="U106" s="109">
        <f t="shared" si="5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6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4"/>
        <v/>
      </c>
      <c r="U107" s="109">
        <f t="shared" si="5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6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4"/>
        <v/>
      </c>
      <c r="U108" s="109">
        <f t="shared" si="5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6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4"/>
        <v/>
      </c>
      <c r="U109" s="109">
        <f t="shared" si="5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6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4"/>
        <v/>
      </c>
      <c r="U110" s="109">
        <f t="shared" si="5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6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4"/>
        <v/>
      </c>
      <c r="U111" s="109">
        <f t="shared" si="5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6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4"/>
        <v/>
      </c>
      <c r="U112" s="109">
        <f t="shared" si="5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6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4"/>
        <v/>
      </c>
      <c r="U113" s="109">
        <f t="shared" si="5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6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4"/>
        <v/>
      </c>
      <c r="U114" s="109">
        <f t="shared" si="5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6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4"/>
        <v/>
      </c>
      <c r="U115" s="109">
        <f t="shared" si="5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6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4"/>
        <v/>
      </c>
      <c r="U116" s="109">
        <f t="shared" si="5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6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4"/>
        <v/>
      </c>
      <c r="U117" s="109">
        <f t="shared" si="5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6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4"/>
        <v/>
      </c>
      <c r="U118" s="109">
        <f t="shared" si="5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6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4"/>
        <v/>
      </c>
      <c r="U119" s="109">
        <f t="shared" si="5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6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4"/>
        <v/>
      </c>
      <c r="U120" s="109">
        <f t="shared" si="5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6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4"/>
        <v/>
      </c>
      <c r="U121" s="109">
        <f t="shared" si="5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6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4"/>
        <v/>
      </c>
      <c r="U122" s="109">
        <f t="shared" si="5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6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4"/>
        <v/>
      </c>
      <c r="U123" s="109">
        <f t="shared" si="5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6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4"/>
        <v/>
      </c>
      <c r="U124" s="109">
        <f t="shared" si="5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6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4"/>
        <v/>
      </c>
      <c r="U125" s="109">
        <f t="shared" si="5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6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4"/>
        <v/>
      </c>
      <c r="U126" s="109">
        <f t="shared" si="5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6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4"/>
        <v/>
      </c>
      <c r="U127" s="109">
        <f t="shared" si="5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6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4"/>
        <v/>
      </c>
      <c r="U128" s="109">
        <f t="shared" si="5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6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4"/>
        <v/>
      </c>
      <c r="U129" s="109">
        <f t="shared" si="5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6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ref="T130:T193" si="7">CONCATENATE(B130,C130)</f>
        <v/>
      </c>
      <c r="U130" s="109">
        <f t="shared" ref="U130:U193" si="8">D130</f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9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si="7"/>
        <v/>
      </c>
      <c r="U131" s="109">
        <f t="shared" si="8"/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9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7"/>
        <v/>
      </c>
      <c r="U132" s="109">
        <f t="shared" si="8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9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7"/>
        <v/>
      </c>
      <c r="U133" s="109">
        <f t="shared" si="8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9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7"/>
        <v/>
      </c>
      <c r="U134" s="109">
        <f t="shared" si="8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9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7"/>
        <v/>
      </c>
      <c r="U135" s="109">
        <f t="shared" si="8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9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7"/>
        <v/>
      </c>
      <c r="U136" s="109">
        <f t="shared" si="8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9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7"/>
        <v/>
      </c>
      <c r="U137" s="109">
        <f t="shared" si="8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9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7"/>
        <v/>
      </c>
      <c r="U138" s="109">
        <f t="shared" si="8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9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7"/>
        <v/>
      </c>
      <c r="U139" s="109">
        <f t="shared" si="8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9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7"/>
        <v/>
      </c>
      <c r="U140" s="109">
        <f t="shared" si="8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9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7"/>
        <v/>
      </c>
      <c r="U141" s="109">
        <f t="shared" si="8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9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7"/>
        <v/>
      </c>
      <c r="U142" s="109">
        <f t="shared" si="8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9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7"/>
        <v/>
      </c>
      <c r="U143" s="109">
        <f t="shared" si="8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9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7"/>
        <v/>
      </c>
      <c r="U144" s="109">
        <f t="shared" si="8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9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7"/>
        <v/>
      </c>
      <c r="U145" s="109">
        <f t="shared" si="8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9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7"/>
        <v/>
      </c>
      <c r="U146" s="109">
        <f t="shared" si="8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9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7"/>
        <v/>
      </c>
      <c r="U147" s="109">
        <f t="shared" si="8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9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7"/>
        <v/>
      </c>
      <c r="U148" s="109">
        <f t="shared" si="8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9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7"/>
        <v/>
      </c>
      <c r="U149" s="109">
        <f t="shared" si="8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9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7"/>
        <v/>
      </c>
      <c r="U150" s="109">
        <f t="shared" si="8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9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7"/>
        <v/>
      </c>
      <c r="U151" s="109">
        <f t="shared" si="8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9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7"/>
        <v/>
      </c>
      <c r="U152" s="109">
        <f t="shared" si="8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9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7"/>
        <v/>
      </c>
      <c r="U153" s="109">
        <f t="shared" si="8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9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7"/>
        <v/>
      </c>
      <c r="U154" s="109">
        <f t="shared" si="8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9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7"/>
        <v/>
      </c>
      <c r="U155" s="109">
        <f t="shared" si="8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9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7"/>
        <v/>
      </c>
      <c r="U156" s="109">
        <f t="shared" si="8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9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7"/>
        <v/>
      </c>
      <c r="U157" s="109">
        <f t="shared" si="8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9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7"/>
        <v/>
      </c>
      <c r="U158" s="109">
        <f t="shared" si="8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9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7"/>
        <v/>
      </c>
      <c r="U159" s="109">
        <f t="shared" si="8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9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7"/>
        <v/>
      </c>
      <c r="U160" s="109">
        <f t="shared" si="8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9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7"/>
        <v/>
      </c>
      <c r="U161" s="109">
        <f t="shared" si="8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9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7"/>
        <v/>
      </c>
      <c r="U162" s="109">
        <f t="shared" si="8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9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7"/>
        <v/>
      </c>
      <c r="U163" s="109">
        <f t="shared" si="8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9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7"/>
        <v/>
      </c>
      <c r="U164" s="109">
        <f t="shared" si="8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9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7"/>
        <v/>
      </c>
      <c r="U165" s="109">
        <f t="shared" si="8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9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7"/>
        <v/>
      </c>
      <c r="U166" s="109">
        <f t="shared" si="8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9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7"/>
        <v/>
      </c>
      <c r="U167" s="109">
        <f t="shared" si="8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9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7"/>
        <v/>
      </c>
      <c r="U168" s="109">
        <f t="shared" si="8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9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7"/>
        <v/>
      </c>
      <c r="U169" s="109">
        <f t="shared" si="8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9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7"/>
        <v/>
      </c>
      <c r="U170" s="109">
        <f t="shared" si="8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9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7"/>
        <v/>
      </c>
      <c r="U171" s="109">
        <f t="shared" si="8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9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7"/>
        <v/>
      </c>
      <c r="U172" s="109">
        <f t="shared" si="8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9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7"/>
        <v/>
      </c>
      <c r="U173" s="109">
        <f t="shared" si="8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9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7"/>
        <v/>
      </c>
      <c r="U174" s="109">
        <f t="shared" si="8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9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7"/>
        <v/>
      </c>
      <c r="U175" s="109">
        <f t="shared" si="8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9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7"/>
        <v/>
      </c>
      <c r="U176" s="109">
        <f t="shared" si="8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9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7"/>
        <v/>
      </c>
      <c r="U177" s="109">
        <f t="shared" si="8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9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7"/>
        <v/>
      </c>
      <c r="U178" s="109">
        <f t="shared" si="8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9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7"/>
        <v/>
      </c>
      <c r="U179" s="109">
        <f t="shared" si="8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9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7"/>
        <v/>
      </c>
      <c r="U180" s="109">
        <f t="shared" si="8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9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7"/>
        <v/>
      </c>
      <c r="U181" s="109">
        <f t="shared" si="8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9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7"/>
        <v/>
      </c>
      <c r="U182" s="109">
        <f t="shared" si="8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9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7"/>
        <v/>
      </c>
      <c r="U183" s="109">
        <f t="shared" si="8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9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7"/>
        <v/>
      </c>
      <c r="U184" s="109">
        <f t="shared" si="8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9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7"/>
        <v/>
      </c>
      <c r="U185" s="109">
        <f t="shared" si="8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9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7"/>
        <v/>
      </c>
      <c r="U186" s="109">
        <f t="shared" si="8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9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7"/>
        <v/>
      </c>
      <c r="U187" s="109">
        <f t="shared" si="8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9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7"/>
        <v/>
      </c>
      <c r="U188" s="109">
        <f t="shared" si="8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9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7"/>
        <v/>
      </c>
      <c r="U189" s="109">
        <f t="shared" si="8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9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7"/>
        <v/>
      </c>
      <c r="U190" s="109">
        <f t="shared" si="8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9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7"/>
        <v/>
      </c>
      <c r="U191" s="109">
        <f t="shared" si="8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9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7"/>
        <v/>
      </c>
      <c r="U192" s="109">
        <f t="shared" si="8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9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7"/>
        <v/>
      </c>
      <c r="U193" s="109">
        <f t="shared" si="8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9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ref="T194:T257" si="10">CONCATENATE(B194,C194)</f>
        <v/>
      </c>
      <c r="U194" s="109">
        <f t="shared" ref="U194:U257" si="11">D194</f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2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si="10"/>
        <v/>
      </c>
      <c r="U195" s="109">
        <f t="shared" si="11"/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2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0"/>
        <v/>
      </c>
      <c r="U196" s="109">
        <f t="shared" si="11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2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0"/>
        <v/>
      </c>
      <c r="U197" s="109">
        <f t="shared" si="11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2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0"/>
        <v/>
      </c>
      <c r="U198" s="109">
        <f t="shared" si="11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2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0"/>
        <v/>
      </c>
      <c r="U199" s="109">
        <f t="shared" si="11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2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0"/>
        <v/>
      </c>
      <c r="U200" s="109">
        <f t="shared" si="11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2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0"/>
        <v/>
      </c>
      <c r="U201" s="109">
        <f t="shared" si="11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2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0"/>
        <v/>
      </c>
      <c r="U202" s="109">
        <f t="shared" si="11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2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0"/>
        <v/>
      </c>
      <c r="U203" s="109">
        <f t="shared" si="11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2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0"/>
        <v/>
      </c>
      <c r="U204" s="109">
        <f t="shared" si="11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2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0"/>
        <v/>
      </c>
      <c r="U205" s="109">
        <f t="shared" si="11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2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0"/>
        <v/>
      </c>
      <c r="U206" s="109">
        <f t="shared" si="11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2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0"/>
        <v/>
      </c>
      <c r="U207" s="109">
        <f t="shared" si="11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2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0"/>
        <v/>
      </c>
      <c r="U208" s="109">
        <f t="shared" si="11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2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0"/>
        <v/>
      </c>
      <c r="U209" s="109">
        <f t="shared" si="11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2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0"/>
        <v/>
      </c>
      <c r="U210" s="109">
        <f t="shared" si="11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2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0"/>
        <v/>
      </c>
      <c r="U211" s="109">
        <f t="shared" si="11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2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0"/>
        <v/>
      </c>
      <c r="U212" s="109">
        <f t="shared" si="11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2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0"/>
        <v/>
      </c>
      <c r="U213" s="109">
        <f t="shared" si="11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2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0"/>
        <v/>
      </c>
      <c r="U214" s="109">
        <f t="shared" si="11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2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0"/>
        <v/>
      </c>
      <c r="U215" s="109">
        <f t="shared" si="11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2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0"/>
        <v/>
      </c>
      <c r="U216" s="109">
        <f t="shared" si="11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2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0"/>
        <v/>
      </c>
      <c r="U217" s="109">
        <f t="shared" si="11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2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0"/>
        <v/>
      </c>
      <c r="U218" s="109">
        <f t="shared" si="11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2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0"/>
        <v/>
      </c>
      <c r="U219" s="109">
        <f t="shared" si="11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2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0"/>
        <v/>
      </c>
      <c r="U220" s="109">
        <f t="shared" si="11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2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0"/>
        <v/>
      </c>
      <c r="U221" s="109">
        <f t="shared" si="11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2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0"/>
        <v/>
      </c>
      <c r="U222" s="109">
        <f t="shared" si="11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2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0"/>
        <v/>
      </c>
      <c r="U223" s="109">
        <f t="shared" si="11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2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0"/>
        <v/>
      </c>
      <c r="U224" s="109">
        <f t="shared" si="11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2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0"/>
        <v/>
      </c>
      <c r="U225" s="109">
        <f t="shared" si="11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2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0"/>
        <v/>
      </c>
      <c r="U226" s="109">
        <f t="shared" si="11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2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0"/>
        <v/>
      </c>
      <c r="U227" s="109">
        <f t="shared" si="11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2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0"/>
        <v/>
      </c>
      <c r="U228" s="109">
        <f t="shared" si="11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2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0"/>
        <v/>
      </c>
      <c r="U229" s="109">
        <f t="shared" si="11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2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0"/>
        <v/>
      </c>
      <c r="U230" s="109">
        <f t="shared" si="11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2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0"/>
        <v/>
      </c>
      <c r="U231" s="109">
        <f t="shared" si="11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2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0"/>
        <v/>
      </c>
      <c r="U232" s="109">
        <f t="shared" si="11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2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0"/>
        <v/>
      </c>
      <c r="U233" s="109">
        <f t="shared" si="11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2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0"/>
        <v/>
      </c>
      <c r="U234" s="109">
        <f t="shared" si="11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2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0"/>
        <v/>
      </c>
      <c r="U235" s="109">
        <f t="shared" si="11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2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0"/>
        <v/>
      </c>
      <c r="U236" s="109">
        <f t="shared" si="11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2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0"/>
        <v/>
      </c>
      <c r="U237" s="109">
        <f t="shared" si="11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2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0"/>
        <v/>
      </c>
      <c r="U238" s="109">
        <f t="shared" si="11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2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0"/>
        <v/>
      </c>
      <c r="U239" s="109">
        <f t="shared" si="11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2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0"/>
        <v/>
      </c>
      <c r="U240" s="109">
        <f t="shared" si="11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2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0"/>
        <v/>
      </c>
      <c r="U241" s="109">
        <f t="shared" si="11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2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0"/>
        <v/>
      </c>
      <c r="U242" s="109">
        <f t="shared" si="11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2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0"/>
        <v/>
      </c>
      <c r="U243" s="109">
        <f t="shared" si="11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2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0"/>
        <v/>
      </c>
      <c r="U244" s="109">
        <f t="shared" si="11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2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0"/>
        <v/>
      </c>
      <c r="U245" s="109">
        <f t="shared" si="11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2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0"/>
        <v/>
      </c>
      <c r="U246" s="109">
        <f t="shared" si="11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2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0"/>
        <v/>
      </c>
      <c r="U247" s="109">
        <f t="shared" si="11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2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0"/>
        <v/>
      </c>
      <c r="U248" s="109">
        <f t="shared" si="11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2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0"/>
        <v/>
      </c>
      <c r="U249" s="109">
        <f t="shared" si="11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2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0"/>
        <v/>
      </c>
      <c r="U250" s="109">
        <f t="shared" si="11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2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0"/>
        <v/>
      </c>
      <c r="U251" s="109">
        <f t="shared" si="11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2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0"/>
        <v/>
      </c>
      <c r="U252" s="109">
        <f t="shared" si="11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2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0"/>
        <v/>
      </c>
      <c r="U253" s="109">
        <f t="shared" si="11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2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0"/>
        <v/>
      </c>
      <c r="U254" s="109">
        <f t="shared" si="11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2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0"/>
        <v/>
      </c>
      <c r="U255" s="109">
        <f t="shared" si="11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2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0"/>
        <v/>
      </c>
      <c r="U256" s="109">
        <f t="shared" si="11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2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0"/>
        <v/>
      </c>
      <c r="U257" s="109">
        <f t="shared" si="11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2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ref="T258:T286" si="13">CONCATENATE(B258,C258)</f>
        <v/>
      </c>
      <c r="U258" s="109">
        <f t="shared" ref="U258:U286" si="14">D258</f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5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si="13"/>
        <v/>
      </c>
      <c r="U259" s="109">
        <f t="shared" si="14"/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5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3"/>
        <v/>
      </c>
      <c r="U260" s="109">
        <f t="shared" si="14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5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3"/>
        <v/>
      </c>
      <c r="U261" s="109">
        <f t="shared" si="14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5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3"/>
        <v/>
      </c>
      <c r="U262" s="109">
        <f t="shared" si="14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5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3"/>
        <v/>
      </c>
      <c r="U263" s="109">
        <f t="shared" si="14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5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3"/>
        <v/>
      </c>
      <c r="U264" s="109">
        <f t="shared" si="14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5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3"/>
        <v/>
      </c>
      <c r="U265" s="109">
        <f t="shared" si="14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5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3"/>
        <v/>
      </c>
      <c r="U266" s="109">
        <f t="shared" si="14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5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3"/>
        <v/>
      </c>
      <c r="U267" s="109">
        <f t="shared" si="14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5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3"/>
        <v/>
      </c>
      <c r="U268" s="109">
        <f t="shared" si="14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5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3"/>
        <v/>
      </c>
      <c r="U269" s="109">
        <f t="shared" si="14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5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3"/>
        <v/>
      </c>
      <c r="U270" s="109">
        <f t="shared" si="14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5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3"/>
        <v/>
      </c>
      <c r="U271" s="109">
        <f t="shared" si="14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5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3"/>
        <v/>
      </c>
      <c r="U272" s="109">
        <f t="shared" si="14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5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3"/>
        <v/>
      </c>
      <c r="U273" s="109">
        <f t="shared" si="14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5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3"/>
        <v/>
      </c>
      <c r="U274" s="109">
        <f t="shared" si="14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5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3"/>
        <v/>
      </c>
      <c r="U275" s="109">
        <f t="shared" si="14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5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3"/>
        <v/>
      </c>
      <c r="U276" s="109">
        <f t="shared" si="14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5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3"/>
        <v/>
      </c>
      <c r="U277" s="109">
        <f t="shared" si="14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5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3"/>
        <v/>
      </c>
      <c r="U278" s="109">
        <f t="shared" si="14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5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3"/>
        <v/>
      </c>
      <c r="U279" s="109">
        <f t="shared" si="14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5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3"/>
        <v/>
      </c>
      <c r="U280" s="109">
        <f t="shared" si="14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5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3"/>
        <v/>
      </c>
      <c r="U281" s="109">
        <f t="shared" si="14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5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3"/>
        <v/>
      </c>
      <c r="U282" s="109">
        <f t="shared" si="14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5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3"/>
        <v/>
      </c>
      <c r="U283" s="109">
        <f t="shared" si="14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5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3"/>
        <v/>
      </c>
      <c r="U284" s="109">
        <f t="shared" si="14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5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3"/>
        <v/>
      </c>
      <c r="U285" s="109">
        <f t="shared" si="14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5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3"/>
        <v/>
      </c>
      <c r="U286" s="109">
        <f t="shared" si="14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3" sqref="J13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 t="str">
        <f>IFERROR(IF(INDEX('Open 2'!$A:$F,MATCH('Open 2 Results'!$E2,'Open 2'!$F:$F,0),1)&gt;0,INDEX('Open 2'!$A:$F,MATCH('Open 2 Results'!$E2,'Open 2'!$F:$F,0),1),""),"")</f>
        <v>co</v>
      </c>
      <c r="B2" s="95" t="str">
        <f>IFERROR(IF(INDEX('Open 2'!$A:$F,MATCH('Open 2 Results'!$E2,'Open 2'!$F:$F,0),2)&gt;0,INDEX('Open 2'!$A:$F,MATCH('Open 2 Results'!$E2,'Open 2'!$F:$F,0),2),""),"")</f>
        <v>Jodie Greig</v>
      </c>
      <c r="C2" s="95" t="str">
        <f>IFERROR(IF(INDEX('Open 2'!$A:$F,MATCH('Open 2 Results'!$E2,'Open 2'!$F:$F,0),3)&gt;0,INDEX('Open 2'!$A:$F,MATCH('Open 2 Results'!$E2,'Open 2'!$F:$F,0),3),""),"")</f>
        <v xml:space="preserve">Streakin On Fame </v>
      </c>
      <c r="D2" s="96">
        <f>IFERROR(IF(AND(SMALL('Open 2'!F:F,L2)&gt;1000,SMALL('Open 2'!F:F,L2)&lt;3000),"nt",IF(SMALL('Open 2'!F:F,L2)&gt;3000,"",SMALL('Open 2'!F:F,L2))),"")</f>
        <v>14.253000025</v>
      </c>
      <c r="E2" s="132">
        <f>IF(D2="nt",IFERROR(SMALL('Open 2'!F:F,L2),""),IF(D2&gt;3000,"",IFERROR(SMALL('Open 2'!F:F,L2),"")))</f>
        <v>14.253000025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 t="str">
        <f>IFERROR(IF(INDEX('Open 2'!$A:$F,MATCH('Open 2 Results'!$E3,'Open 2'!$F:$F,0),1)&gt;0,INDEX('Open 2'!$A:$F,MATCH('Open 2 Results'!$E3,'Open 2'!$F:$F,0),1),""),"")</f>
        <v>co</v>
      </c>
      <c r="B3" s="95" t="str">
        <f>IFERROR(IF(INDEX('Open 2'!$A:$F,MATCH('Open 2 Results'!$E3,'Open 2'!$F:$F,0),2)&gt;0,INDEX('Open 2'!$A:$F,MATCH('Open 2 Results'!$E3,'Open 2'!$F:$F,0),2),""),"")</f>
        <v xml:space="preserve">Pam Elshere </v>
      </c>
      <c r="C3" s="95" t="str">
        <f>IFERROR(IF(INDEX('Open 2'!$A:$F,MATCH('Open 2 Results'!$E3,'Open 2'!$F:$F,0),3)&gt;0,INDEX('Open 2'!$A:$F,MATCH('Open 2 Results'!$E3,'Open 2'!$F:$F,0),3),""),"")</f>
        <v>Secret Storm Bug</v>
      </c>
      <c r="D3" s="96">
        <f>IFERROR(IF(AND(SMALL('Open 2'!F:F,L3)&gt;1000,SMALL('Open 2'!F:F,L3)&lt;3000),"nt",IF(SMALL('Open 2'!F:F,L3)&gt;3000,"",SMALL('Open 2'!F:F,L3))),"")</f>
        <v>14.476000023000001</v>
      </c>
      <c r="E3" s="132">
        <f>IF(D3="nt",IFERROR(SMALL('Open 2'!F:F,L3),""),IF(D3&gt;3000,"",IFERROR(SMALL('Open 2'!F:F,L3),"")))</f>
        <v>14.476000023000001</v>
      </c>
      <c r="F3" s="97" t="str">
        <f t="shared" ref="F3:F20" si="1">IFERROR(VLOOKUP(D3,$H$3:$I$6,2,TRUE),"")</f>
        <v>1D</v>
      </c>
      <c r="G3" s="104" t="str">
        <f t="shared" ref="G3:G20" si="2">IFERROR(VLOOKUP(D3,$H$3:$I$7,2,FALSE),"")</f>
        <v/>
      </c>
      <c r="H3" s="90">
        <f>'Open 2'!Q4</f>
        <v>14.253000025</v>
      </c>
      <c r="I3" s="68" t="s">
        <v>3</v>
      </c>
      <c r="J3" s="141"/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4</v>
      </c>
      <c r="B4" s="95" t="str">
        <f>IFERROR(IF(INDEX('Open 2'!$A:$F,MATCH('Open 2 Results'!$E4,'Open 2'!$F:$F,0),2)&gt;0,INDEX('Open 2'!$A:$F,MATCH('Open 2 Results'!$E4,'Open 2'!$F:$F,0),2),""),"")</f>
        <v>Andrea Hansen</v>
      </c>
      <c r="C4" s="95" t="str">
        <f>IFERROR(IF(INDEX('Open 2'!$A:$F,MATCH('Open 2 Results'!$E4,'Open 2'!$F:$F,0),3)&gt;0,INDEX('Open 2'!$A:$F,MATCH('Open 2 Results'!$E4,'Open 2'!$F:$F,0),3),""),"")</f>
        <v>Betty</v>
      </c>
      <c r="D4" s="96">
        <f>IFERROR(IF(AND(SMALL('Open 2'!F:F,L4)&gt;1000,SMALL('Open 2'!F:F,L4)&lt;3000),"nt",IF(SMALL('Open 2'!F:F,L4)&gt;3000,"",SMALL('Open 2'!F:F,L4))),"")</f>
        <v>14.551000004</v>
      </c>
      <c r="E4" s="132">
        <f>IF(D4="nt",IFERROR(SMALL('Open 2'!F:F,L4),""),IF(D4&gt;3000,"",IFERROR(SMALL('Open 2'!F:F,L4),"")))</f>
        <v>14.551000004</v>
      </c>
      <c r="F4" s="97" t="str">
        <f t="shared" si="1"/>
        <v>1D</v>
      </c>
      <c r="G4" s="104" t="str">
        <f t="shared" si="2"/>
        <v/>
      </c>
      <c r="H4" s="90">
        <f>'Open 2'!Q10</f>
        <v>14.935000001000001</v>
      </c>
      <c r="I4" s="98" t="s">
        <v>4</v>
      </c>
      <c r="J4" s="189"/>
      <c r="K4" s="141"/>
      <c r="L4" s="68">
        <v>3</v>
      </c>
    </row>
    <row r="5" spans="1:12">
      <c r="A5" s="22" t="str">
        <f>IFERROR(IF(INDEX('Open 2'!$A:$F,MATCH('Open 2 Results'!$E5,'Open 2'!$F:$F,0),1)&gt;0,INDEX('Open 2'!$A:$F,MATCH('Open 2 Results'!$E5,'Open 2'!$F:$F,0),1),""),"")</f>
        <v>co</v>
      </c>
      <c r="B5" s="95" t="str">
        <f>IFERROR(IF(INDEX('Open 2'!$A:$F,MATCH('Open 2 Results'!$E5,'Open 2'!$F:$F,0),2)&gt;0,INDEX('Open 2'!$A:$F,MATCH('Open 2 Results'!$E5,'Open 2'!$F:$F,0),2),""),"")</f>
        <v>Nicole VanWell</v>
      </c>
      <c r="C5" s="95" t="str">
        <f>IFERROR(IF(INDEX('Open 2'!$A:$F,MATCH('Open 2 Results'!$E5,'Open 2'!$F:$F,0),3)&gt;0,INDEX('Open 2'!$A:$F,MATCH('Open 2 Results'!$E5,'Open 2'!$F:$F,0),3),""),"")</f>
        <v>Flirty Ways</v>
      </c>
      <c r="D5" s="96">
        <f>IFERROR(IF(AND(SMALL('Open 2'!F:F,L5)&gt;1000,SMALL('Open 2'!F:F,L5)&lt;3000),"nt",IF(SMALL('Open 2'!F:F,L5)&gt;3000,"",SMALL('Open 2'!F:F,L5))),"")</f>
        <v>14.55500002</v>
      </c>
      <c r="E5" s="132">
        <f>IF(D5="nt",IFERROR(SMALL('Open 2'!F:F,L5),""),IF(D5&gt;3000,"",IFERROR(SMALL('Open 2'!F:F,L5),"")))</f>
        <v>14.55500002</v>
      </c>
      <c r="F5" s="97" t="str">
        <f t="shared" si="1"/>
        <v>1D</v>
      </c>
      <c r="G5" s="104" t="str">
        <f t="shared" si="2"/>
        <v/>
      </c>
      <c r="H5" s="90">
        <f>'Open 2'!Q16</f>
        <v>15.602000021</v>
      </c>
      <c r="I5" s="98" t="s">
        <v>5</v>
      </c>
      <c r="J5" s="189"/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11</v>
      </c>
      <c r="B6" s="95" t="str">
        <f>IFERROR(IF(INDEX('Open 2'!$A:$F,MATCH('Open 2 Results'!$E6,'Open 2'!$F:$F,0),2)&gt;0,INDEX('Open 2'!$A:$F,MATCH('Open 2 Results'!$E6,'Open 2'!$F:$F,0),2),""),"")</f>
        <v>Josey Fey</v>
      </c>
      <c r="C6" s="95" t="str">
        <f>IFERROR(IF(INDEX('Open 2'!$A:$F,MATCH('Open 2 Results'!$E6,'Open 2'!$F:$F,0),3)&gt;0,INDEX('Open 2'!$A:$F,MATCH('Open 2 Results'!$E6,'Open 2'!$F:$F,0),3),""),"")</f>
        <v>Gunning for Fame</v>
      </c>
      <c r="D6" s="96">
        <f>IFERROR(IF(AND(SMALL('Open 2'!F:F,L6)&gt;1000,SMALL('Open 2'!F:F,L6)&lt;3000),"nt",IF(SMALL('Open 2'!F:F,L6)&gt;3000,"",SMALL('Open 2'!F:F,L6))),"")</f>
        <v>14.577000012999999</v>
      </c>
      <c r="E6" s="132">
        <f>IF(D6="nt",IFERROR(SMALL('Open 2'!F:F,L6),""),IF(D6&gt;3000,"",IFERROR(SMALL('Open 2'!F:F,L6),"")))</f>
        <v>14.577000012999999</v>
      </c>
      <c r="F6" s="97" t="str">
        <f t="shared" si="1"/>
        <v>1D</v>
      </c>
      <c r="G6" s="104" t="str">
        <f t="shared" si="2"/>
        <v/>
      </c>
      <c r="H6" s="90" t="str">
        <f>'Open 2'!Q22</f>
        <v>-</v>
      </c>
      <c r="I6" s="98" t="s">
        <v>6</v>
      </c>
      <c r="J6" s="189"/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1</v>
      </c>
      <c r="B7" s="95" t="str">
        <f>IFERROR(IF(INDEX('Open 2'!$A:$F,MATCH('Open 2 Results'!$E7,'Open 2'!$F:$F,0),2)&gt;0,INDEX('Open 2'!$A:$F,MATCH('Open 2 Results'!$E7,'Open 2'!$F:$F,0),2),""),"")</f>
        <v>Aleah Marco</v>
      </c>
      <c r="C7" s="95" t="str">
        <f>IFERROR(IF(INDEX('Open 2'!$A:$F,MATCH('Open 2 Results'!$E7,'Open 2'!$F:$F,0),3)&gt;0,INDEX('Open 2'!$A:$F,MATCH('Open 2 Results'!$E7,'Open 2'!$F:$F,0),3),""),"")</f>
        <v>Premier Passum</v>
      </c>
      <c r="D7" s="96">
        <f>IFERROR(IF(AND(SMALL('Open 2'!F:F,L7)&gt;1000,SMALL('Open 2'!F:F,L7)&lt;3000),"nt",IF(SMALL('Open 2'!F:F,L7)&gt;3000,"",SMALL('Open 2'!F:F,L7))),"")</f>
        <v>14.935000001000001</v>
      </c>
      <c r="E7" s="132">
        <f>IF(D7="nt",IFERROR(SMALL('Open 2'!F:F,L7),""),IF(D7&gt;3000,"",IFERROR(SMALL('Open 2'!F:F,L7),"")))</f>
        <v>14.935000001000001</v>
      </c>
      <c r="F7" s="97" t="str">
        <f t="shared" si="1"/>
        <v>2D</v>
      </c>
      <c r="G7" s="104" t="str">
        <f t="shared" si="2"/>
        <v>2D</v>
      </c>
      <c r="H7" s="68" t="str">
        <f>'Open 2'!Q28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10</v>
      </c>
      <c r="B8" s="95" t="str">
        <f>IFERROR(IF(INDEX('Open 2'!$A:$F,MATCH('Open 2 Results'!$E8,'Open 2'!$F:$F,0),2)&gt;0,INDEX('Open 2'!$A:$F,MATCH('Open 2 Results'!$E8,'Open 2'!$F:$F,0),2),""),"")</f>
        <v>Megan Rosendahl</v>
      </c>
      <c r="C8" s="95" t="str">
        <f>IFERROR(IF(INDEX('Open 2'!$A:$F,MATCH('Open 2 Results'!$E8,'Open 2'!$F:$F,0),3)&gt;0,INDEX('Open 2'!$A:$F,MATCH('Open 2 Results'!$E8,'Open 2'!$F:$F,0),3),""),"")</f>
        <v>A Dash of Jerzy Cash</v>
      </c>
      <c r="D8" s="96">
        <f>IFERROR(IF(AND(SMALL('Open 2'!F:F,L8)&gt;1000,SMALL('Open 2'!F:F,L8)&lt;3000),"nt",IF(SMALL('Open 2'!F:F,L8)&gt;3000,"",SMALL('Open 2'!F:F,L8))),"")</f>
        <v>15.195000010999999</v>
      </c>
      <c r="E8" s="132">
        <f>IF(D8="nt",IFERROR(SMALL('Open 2'!F:F,L8),""),IF(D8&gt;3000,"",IFERROR(SMALL('Open 2'!F:F,L8),"")))</f>
        <v>15.195000010999999</v>
      </c>
      <c r="F8" s="97" t="str">
        <f t="shared" si="1"/>
        <v>2D</v>
      </c>
      <c r="G8" s="104" t="str">
        <f t="shared" si="2"/>
        <v/>
      </c>
      <c r="J8" s="188"/>
      <c r="K8" s="141"/>
      <c r="L8" s="68">
        <v>7</v>
      </c>
    </row>
    <row r="9" spans="1:12">
      <c r="A9" s="22" t="str">
        <f>IFERROR(IF(INDEX('Open 2'!$A:$F,MATCH('Open 2 Results'!$E9,'Open 2'!$F:$F,0),1)&gt;0,INDEX('Open 2'!$A:$F,MATCH('Open 2 Results'!$E9,'Open 2'!$F:$F,0),1),""),"")</f>
        <v>co</v>
      </c>
      <c r="B9" s="95" t="str">
        <f>IFERROR(IF(INDEX('Open 2'!$A:$F,MATCH('Open 2 Results'!$E9,'Open 2'!$F:$F,0),2)&gt;0,INDEX('Open 2'!$A:$F,MATCH('Open 2 Results'!$E9,'Open 2'!$F:$F,0),2),""),"")</f>
        <v>Elaine Hagen</v>
      </c>
      <c r="C9" s="95" t="str">
        <f>IFERROR(IF(INDEX('Open 2'!$A:$F,MATCH('Open 2 Results'!$E9,'Open 2'!$F:$F,0),3)&gt;0,INDEX('Open 2'!$A:$F,MATCH('Open 2 Results'!$E9,'Open 2'!$F:$F,0),3),""),"")</f>
        <v>MIP Streakin Seltzer</v>
      </c>
      <c r="D9" s="96">
        <f>IFERROR(IF(AND(SMALL('Open 2'!F:F,L9)&gt;1000,SMALL('Open 2'!F:F,L9)&lt;3000),"nt",IF(SMALL('Open 2'!F:F,L9)&gt;3000,"",SMALL('Open 2'!F:F,L9))),"")</f>
        <v>15.602000021</v>
      </c>
      <c r="E9" s="132">
        <f>IF(D9="nt",IFERROR(SMALL('Open 2'!F:F,L9),""),IF(D9&gt;3000,"",IFERROR(SMALL('Open 2'!F:F,L9),"")))</f>
        <v>15.602000021</v>
      </c>
      <c r="F9" s="97" t="str">
        <f t="shared" si="1"/>
        <v>3D</v>
      </c>
      <c r="G9" s="104" t="str">
        <f t="shared" si="2"/>
        <v>3D</v>
      </c>
      <c r="J9" s="188">
        <v>5</v>
      </c>
      <c r="K9" s="141"/>
      <c r="L9" s="68">
        <v>8</v>
      </c>
    </row>
    <row r="10" spans="1:12">
      <c r="A10" s="22" t="str">
        <f>IFERROR(IF(INDEX('Open 2'!$A:$F,MATCH('Open 2 Results'!$E10,'Open 2'!$F:$F,0),1)&gt;0,INDEX('Open 2'!$A:$F,MATCH('Open 2 Results'!$E10,'Open 2'!$F:$F,0),1),""),"")</f>
        <v>co</v>
      </c>
      <c r="B10" s="95" t="str">
        <f>IFERROR(IF(INDEX('Open 2'!$A:$F,MATCH('Open 2 Results'!$E10,'Open 2'!$F:$F,0),2)&gt;0,INDEX('Open 2'!$A:$F,MATCH('Open 2 Results'!$E10,'Open 2'!$F:$F,0),2),""),"")</f>
        <v>Elaine Hagen</v>
      </c>
      <c r="C10" s="95" t="str">
        <f>IFERROR(IF(INDEX('Open 2'!$A:$F,MATCH('Open 2 Results'!$E10,'Open 2'!$F:$F,0),3)&gt;0,INDEX('Open 2'!$A:$F,MATCH('Open 2 Results'!$E10,'Open 2'!$F:$F,0),3),""),"")</f>
        <v>Sawyers Jo Glo</v>
      </c>
      <c r="D10" s="96">
        <f>IFERROR(IF(AND(SMALL('Open 2'!F:F,L10)&gt;1000,SMALL('Open 2'!F:F,L10)&lt;3000),"nt",IF(SMALL('Open 2'!F:F,L10)&gt;3000,"",SMALL('Open 2'!F:F,L10))),"")</f>
        <v>15.726000022000001</v>
      </c>
      <c r="E10" s="132">
        <f>IF(D10="nt",IFERROR(SMALL('Open 2'!F:F,L10),""),IF(D10&gt;3000,"",IFERROR(SMALL('Open 2'!F:F,L10),"")))</f>
        <v>15.726000022000001</v>
      </c>
      <c r="F10" s="97" t="str">
        <f t="shared" si="1"/>
        <v>3D</v>
      </c>
      <c r="G10" s="104" t="str">
        <f t="shared" si="2"/>
        <v/>
      </c>
      <c r="J10" s="188">
        <v>4</v>
      </c>
      <c r="K10" s="141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3</v>
      </c>
      <c r="B11" s="95" t="str">
        <f>IFERROR(IF(INDEX('Open 2'!$A:$F,MATCH('Open 2 Results'!$E11,'Open 2'!$F:$F,0),2)&gt;0,INDEX('Open 2'!$A:$F,MATCH('Open 2 Results'!$E11,'Open 2'!$F:$F,0),2),""),"")</f>
        <v>Natalie Hieronimus</v>
      </c>
      <c r="C11" s="95" t="str">
        <f>IFERROR(IF(INDEX('Open 2'!$A:$F,MATCH('Open 2 Results'!$E11,'Open 2'!$F:$F,0),3)&gt;0,INDEX('Open 2'!$A:$F,MATCH('Open 2 Results'!$E11,'Open 2'!$F:$F,0),3),""),"")</f>
        <v>SH Chrome Ta Fame</v>
      </c>
      <c r="D11" s="96">
        <f>IFERROR(IF(AND(SMALL('Open 2'!F:F,L11)&gt;1000,SMALL('Open 2'!F:F,L11)&lt;3000),"nt",IF(SMALL('Open 2'!F:F,L11)&gt;3000,"",SMALL('Open 2'!F:F,L11))),"")</f>
        <v>15.999000003000001</v>
      </c>
      <c r="E11" s="132">
        <f>IF(D11="nt",IFERROR(SMALL('Open 2'!F:F,L11),""),IF(D11&gt;3000,"",IFERROR(SMALL('Open 2'!F:F,L11),"")))</f>
        <v>15.999000003000001</v>
      </c>
      <c r="F11" s="97" t="str">
        <f t="shared" si="1"/>
        <v>3D</v>
      </c>
      <c r="G11" s="104" t="str">
        <f t="shared" si="2"/>
        <v/>
      </c>
      <c r="J11" s="188"/>
      <c r="K11" s="141"/>
      <c r="L11" s="68">
        <v>10</v>
      </c>
    </row>
    <row r="12" spans="1:12">
      <c r="A12" s="22" t="str">
        <f>IFERROR(IF(INDEX('Open 2'!$A:$F,MATCH('Open 2 Results'!$E12,'Open 2'!$F:$F,0),1)&gt;0,INDEX('Open 2'!$A:$F,MATCH('Open 2 Results'!$E12,'Open 2'!$F:$F,0),1),""),"")</f>
        <v>co</v>
      </c>
      <c r="B12" s="95" t="str">
        <f>IFERROR(IF(INDEX('Open 2'!$A:$F,MATCH('Open 2 Results'!$E12,'Open 2'!$F:$F,0),2)&gt;0,INDEX('Open 2'!$A:$F,MATCH('Open 2 Results'!$E12,'Open 2'!$F:$F,0),2),""),"")</f>
        <v>Sara Jo Lamb</v>
      </c>
      <c r="C12" s="95" t="str">
        <f>IFERROR(IF(INDEX('Open 2'!$A:$F,MATCH('Open 2 Results'!$E12,'Open 2'!$F:$F,0),3)&gt;0,INDEX('Open 2'!$A:$F,MATCH('Open 2 Results'!$E12,'Open 2'!$F:$F,0),3),""),"")</f>
        <v>Last Chance Fling</v>
      </c>
      <c r="D12" s="96">
        <f>IFERROR(IF(AND(SMALL('Open 2'!F:F,L12)&gt;1000,SMALL('Open 2'!F:F,L12)&lt;3000),"nt",IF(SMALL('Open 2'!F:F,L12)&gt;3000,"",SMALL('Open 2'!F:F,L12))),"")</f>
        <v>914.06800001900001</v>
      </c>
      <c r="E12" s="132">
        <f>IF(D12="nt",IFERROR(SMALL('Open 2'!F:F,L12),""),IF(D12&gt;3000,"",IFERROR(SMALL('Open 2'!F:F,L12),"")))</f>
        <v>914.06800001900001</v>
      </c>
      <c r="F12" s="97" t="str">
        <f t="shared" si="1"/>
        <v>3D</v>
      </c>
      <c r="G12" s="104" t="str">
        <f t="shared" si="2"/>
        <v/>
      </c>
      <c r="J12" s="188" t="s">
        <v>249</v>
      </c>
      <c r="K12" s="141"/>
      <c r="L12" s="68">
        <v>11</v>
      </c>
    </row>
    <row r="13" spans="1:12">
      <c r="A13" s="22" t="str">
        <f>IFERROR(IF(INDEX('Open 2'!$A:$F,MATCH('Open 2 Results'!$E13,'Open 2'!$F:$F,0),1)&gt;0,INDEX('Open 2'!$A:$F,MATCH('Open 2 Results'!$E13,'Open 2'!$F:$F,0),1),""),"")</f>
        <v/>
      </c>
      <c r="B13" s="95" t="str">
        <f>IFERROR(IF(INDEX('Open 2'!$A:$F,MATCH('Open 2 Results'!$E13,'Open 2'!$F:$F,0),2)&gt;0,INDEX('Open 2'!$A:$F,MATCH('Open 2 Results'!$E13,'Open 2'!$F:$F,0),2),""),"")</f>
        <v/>
      </c>
      <c r="C13" s="95" t="str">
        <f>IFERROR(IF(INDEX('Open 2'!$A:$F,MATCH('Open 2 Results'!$E13,'Open 2'!$F:$F,0),3)&gt;0,INDEX('Open 2'!$A:$F,MATCH('Open 2 Results'!$E13,'Open 2'!$F:$F,0),3),""),"")</f>
        <v/>
      </c>
      <c r="D13" s="96" t="str">
        <f>IFERROR(IF(AND(SMALL('Open 2'!F:F,L13)&gt;1000,SMALL('Open 2'!F:F,L13)&lt;3000),"nt",IF(SMALL('Open 2'!F:F,L13)&gt;3000,"",SMALL('Open 2'!F:F,L13))),"")</f>
        <v/>
      </c>
      <c r="E13" s="132" t="str">
        <f>IF(D13="nt",IFERROR(SMALL('Open 2'!F:F,L13),""),IF(D13&gt;3000,"",IFERROR(SMALL('Open 2'!F:F,L13),"")))</f>
        <v/>
      </c>
      <c r="F13" s="97" t="str">
        <f t="shared" si="1"/>
        <v/>
      </c>
      <c r="G13" s="104" t="str">
        <f t="shared" si="2"/>
        <v/>
      </c>
      <c r="J13" s="188"/>
      <c r="K13" s="141"/>
      <c r="L13" s="68">
        <v>12</v>
      </c>
    </row>
    <row r="14" spans="1:12">
      <c r="A14" s="22" t="str">
        <f>IFERROR(IF(INDEX('Open 2'!$A:$F,MATCH('Open 2 Results'!$E14,'Open 2'!$F:$F,0),1)&gt;0,INDEX('Open 2'!$A:$F,MATCH('Open 2 Results'!$E14,'Open 2'!$F:$F,0),1),""),"")</f>
        <v/>
      </c>
      <c r="B14" s="95" t="str">
        <f>IFERROR(IF(INDEX('Open 2'!$A:$F,MATCH('Open 2 Results'!$E14,'Open 2'!$F:$F,0),2)&gt;0,INDEX('Open 2'!$A:$F,MATCH('Open 2 Results'!$E14,'Open 2'!$F:$F,0),2),""),"")</f>
        <v/>
      </c>
      <c r="C14" s="95" t="str">
        <f>IFERROR(IF(INDEX('Open 2'!$A:$F,MATCH('Open 2 Results'!$E14,'Open 2'!$F:$F,0),3)&gt;0,INDEX('Open 2'!$A:$F,MATCH('Open 2 Results'!$E14,'Open 2'!$F:$F,0),3),""),"")</f>
        <v/>
      </c>
      <c r="D14" s="96" t="str">
        <f>IFERROR(IF(AND(SMALL('Open 2'!F:F,L14)&gt;1000,SMALL('Open 2'!F:F,L14)&lt;3000),"nt",IF(SMALL('Open 2'!F:F,L14)&gt;3000,"",SMALL('Open 2'!F:F,L14))),"")</f>
        <v/>
      </c>
      <c r="E14" s="132" t="str">
        <f>IF(D14="nt",IFERROR(SMALL('Open 2'!F:F,L14),""),IF(D14&gt;3000,"",IFERROR(SMALL('Open 2'!F:F,L14),"")))</f>
        <v/>
      </c>
      <c r="F14" s="97" t="str">
        <f t="shared" si="1"/>
        <v/>
      </c>
      <c r="G14" s="104" t="str">
        <f t="shared" si="2"/>
        <v/>
      </c>
      <c r="J14" s="188"/>
      <c r="K14" s="141"/>
      <c r="L14" s="68">
        <v>13</v>
      </c>
    </row>
    <row r="15" spans="1:12">
      <c r="A15" s="22" t="str">
        <f>IFERROR(IF(INDEX('Open 2'!$A:$F,MATCH('Open 2 Results'!$E15,'Open 2'!$F:$F,0),1)&gt;0,INDEX('Open 2'!$A:$F,MATCH('Open 2 Results'!$E15,'Open 2'!$F:$F,0),1),""),"")</f>
        <v/>
      </c>
      <c r="B15" s="95" t="str">
        <f>IFERROR(IF(INDEX('Open 2'!$A:$F,MATCH('Open 2 Results'!$E15,'Open 2'!$F:$F,0),2)&gt;0,INDEX('Open 2'!$A:$F,MATCH('Open 2 Results'!$E15,'Open 2'!$F:$F,0),2),""),"")</f>
        <v/>
      </c>
      <c r="C15" s="95" t="str">
        <f>IFERROR(IF(INDEX('Open 2'!$A:$F,MATCH('Open 2 Results'!$E15,'Open 2'!$F:$F,0),3)&gt;0,INDEX('Open 2'!$A:$F,MATCH('Open 2 Results'!$E15,'Open 2'!$F:$F,0),3),""),"")</f>
        <v/>
      </c>
      <c r="D15" s="96" t="str">
        <f>IFERROR(IF(AND(SMALL('Open 2'!F:F,L15)&gt;1000,SMALL('Open 2'!F:F,L15)&lt;3000),"nt",IF(SMALL('Open 2'!F:F,L15)&gt;3000,"",SMALL('Open 2'!F:F,L15))),"")</f>
        <v/>
      </c>
      <c r="E15" s="132" t="str">
        <f>IF(D15="nt",IFERROR(SMALL('Open 2'!F:F,L15),""),IF(D15&gt;3000,"",IFERROR(SMALL('Open 2'!F:F,L15),"")))</f>
        <v/>
      </c>
      <c r="F15" s="97" t="str">
        <f t="shared" si="1"/>
        <v/>
      </c>
      <c r="G15" s="104" t="str">
        <f t="shared" si="2"/>
        <v/>
      </c>
      <c r="J15" s="188"/>
      <c r="K15" s="141"/>
      <c r="L15" s="68">
        <v>14</v>
      </c>
    </row>
    <row r="16" spans="1:12">
      <c r="A16" s="22" t="str">
        <f>IFERROR(IF(INDEX('Open 2'!$A:$F,MATCH('Open 2 Results'!$E16,'Open 2'!$F:$F,0),1)&gt;0,INDEX('Open 2'!$A:$F,MATCH('Open 2 Results'!$E16,'Open 2'!$F:$F,0),1),""),"")</f>
        <v/>
      </c>
      <c r="B16" s="95" t="str">
        <f>IFERROR(IF(INDEX('Open 2'!$A:$F,MATCH('Open 2 Results'!$E16,'Open 2'!$F:$F,0),2)&gt;0,INDEX('Open 2'!$A:$F,MATCH('Open 2 Results'!$E16,'Open 2'!$F:$F,0),2),""),"")</f>
        <v/>
      </c>
      <c r="C16" s="95" t="str">
        <f>IFERROR(IF(INDEX('Open 2'!$A:$F,MATCH('Open 2 Results'!$E16,'Open 2'!$F:$F,0),3)&gt;0,INDEX('Open 2'!$A:$F,MATCH('Open 2 Results'!$E16,'Open 2'!$F:$F,0),3),""),"")</f>
        <v/>
      </c>
      <c r="D16" s="96" t="str">
        <f>IFERROR(IF(AND(SMALL('Open 2'!F:F,L16)&gt;1000,SMALL('Open 2'!F:F,L16)&lt;3000),"nt",IF(SMALL('Open 2'!F:F,L16)&gt;3000,"",SMALL('Open 2'!F:F,L16))),"")</f>
        <v/>
      </c>
      <c r="E16" s="132" t="str">
        <f>IF(D16="nt",IFERROR(SMALL('Open 2'!F:F,L16),""),IF(D16&gt;3000,"",IFERROR(SMALL('Open 2'!F:F,L16),"")))</f>
        <v/>
      </c>
      <c r="F16" s="97" t="str">
        <f t="shared" si="1"/>
        <v/>
      </c>
      <c r="G16" s="104" t="str">
        <f t="shared" si="2"/>
        <v/>
      </c>
      <c r="J16" s="188"/>
      <c r="K16" s="141"/>
      <c r="L16" s="68">
        <v>15</v>
      </c>
    </row>
    <row r="17" spans="1:12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2'!F:F,L17)&gt;1000,SMALL('Open 2'!F:F,L17)&lt;3000),"nt",IF(SMALL('Open 2'!F:F,L17)&gt;3000,"",SMALL('Open 2'!F:F,L17))),"")</f>
        <v/>
      </c>
      <c r="E17" s="132" t="str">
        <f>IF(D17="nt",IFERROR(SMALL('Open 2'!F:F,L17),""),IF(D17&gt;3000,"",IFERROR(SMALL('Open 2'!F:F,L17),"")))</f>
        <v/>
      </c>
      <c r="F17" s="97" t="str">
        <f t="shared" si="1"/>
        <v/>
      </c>
      <c r="G17" s="104" t="str">
        <f t="shared" si="2"/>
        <v/>
      </c>
      <c r="J17" s="188"/>
      <c r="K17" s="141"/>
      <c r="L17" s="68">
        <v>16</v>
      </c>
    </row>
    <row r="18" spans="1:12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2'!F:F,L18)&gt;1000,SMALL('Open 2'!F:F,L18)&lt;3000),"nt",IF(SMALL('Open 2'!F:F,L18)&gt;3000,"",SMALL('Open 2'!F:F,L18))),"")</f>
        <v/>
      </c>
      <c r="E18" s="132" t="str">
        <f>IF(D18="nt",IFERROR(SMALL('Open 2'!F:F,L18),""),IF(D18&gt;3000,"",IFERROR(SMALL('Open 2'!F:F,L18),"")))</f>
        <v/>
      </c>
      <c r="F18" s="97" t="str">
        <f t="shared" si="1"/>
        <v/>
      </c>
      <c r="G18" s="104" t="str">
        <f t="shared" si="2"/>
        <v/>
      </c>
      <c r="J18" s="188"/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1"/>
        <v/>
      </c>
      <c r="G19" s="104" t="str">
        <f t="shared" si="2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1"/>
        <v/>
      </c>
      <c r="G20" s="104" t="str">
        <f t="shared" si="2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ref="G21:G66" si="3">IFERROR(VLOOKUP(D21,$H$3:$I$7,2,FALSE),"")</f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3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3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3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3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3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3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3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3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3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3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3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3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3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3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3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3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3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3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3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3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3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3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3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3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3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3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3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3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3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3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3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3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3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3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3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3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3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3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3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3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3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3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3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3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3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4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4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4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4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4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4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4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4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4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4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4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4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4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4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4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4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4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4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4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4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4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4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4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4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4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4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4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4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4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4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4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4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4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4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4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4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4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4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4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4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4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4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4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4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4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4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4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4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4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4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4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4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4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4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4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4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4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4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4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4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4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4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4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5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5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5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5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5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5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5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5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5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5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5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5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5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5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5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5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5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5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5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5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5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5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5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5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5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5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5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5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5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5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5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5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5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5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5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5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5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5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5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5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5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5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5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5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5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5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5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5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5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5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5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5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5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5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5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5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5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5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5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5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5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5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5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5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6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6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6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6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6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6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6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6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6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6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6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6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6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6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6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6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6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6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6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6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6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6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6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6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6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6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6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6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6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6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6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6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6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6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6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6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6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6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6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6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6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6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6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6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6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6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6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6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6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6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6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6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6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6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6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6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6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Megan Rosendahl</v>
      </c>
      <c r="C2" s="23" t="str">
        <f>IFERROR(Draw!Z2,"")</f>
        <v>A Dash of Jerzy Cash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Aleah Marco</v>
      </c>
      <c r="C3" s="23" t="str">
        <f>IFERROR(Draw!Z3,"")</f>
        <v>Premier Passum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oco</v>
      </c>
      <c r="B4" s="23" t="str">
        <f>IFERROR(Draw!Y4,"")</f>
        <v>Andrea Hansen</v>
      </c>
      <c r="C4" s="23" t="str">
        <f>IFERROR(Draw!Z4,"")</f>
        <v>Betty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62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Autumn Maxfield</v>
      </c>
      <c r="C5" s="23" t="str">
        <f>IFERROR(Draw!Z5,"")</f>
        <v>Split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63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Sierra Berg</v>
      </c>
      <c r="C6" s="23" t="str">
        <f>IFERROR(Draw!Z6,"")</f>
        <v>Houdini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63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63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Kendall Gillen</v>
      </c>
      <c r="C8" s="23" t="str">
        <f>IFERROR(Draw!Z8,"")</f>
        <v>Blue Eyes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4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>oy</v>
      </c>
      <c r="B9" s="23" t="str">
        <f>IFERROR(Draw!Y9,"")</f>
        <v>Josey Fey</v>
      </c>
      <c r="C9" s="23" t="str">
        <f>IFERROR(Draw!Z9,"")</f>
        <v>O SO Country</v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>oy</v>
      </c>
      <c r="B10" s="23" t="str">
        <f>IFERROR(Draw!Y10,"")</f>
        <v>Hatty Fey</v>
      </c>
      <c r="C10" s="23" t="str">
        <f>IFERROR(Draw!Z10,"")</f>
        <v>Maude</v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5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3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70" t="s">
        <v>75</v>
      </c>
      <c r="AL10" s="270"/>
      <c r="AM10" s="270"/>
      <c r="AN10" s="21">
        <f>J18</f>
        <v>0</v>
      </c>
    </row>
    <row r="11" spans="1:46" ht="16.5" thickBot="1">
      <c r="A11" s="22" t="str">
        <f>IF(B11="","",Draw!X11)</f>
        <v>oy</v>
      </c>
      <c r="B11" s="23" t="str">
        <f>IFERROR(Draw!Y11,"")</f>
        <v>Hatty Fey</v>
      </c>
      <c r="C11" s="23" t="str">
        <f>IFERROR(Draw!Z11,"")</f>
        <v>Sage</v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6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9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70" t="s">
        <v>76</v>
      </c>
      <c r="AL11" s="270"/>
      <c r="AM11" s="270"/>
      <c r="AN11" s="176">
        <v>21</v>
      </c>
    </row>
    <row r="12" spans="1:46" ht="16.5" thickBot="1">
      <c r="A12" s="22" t="str">
        <f>IF(B12="","",Draw!X12)</f>
        <v>oy</v>
      </c>
      <c r="B12" s="23" t="str">
        <f>IFERROR(Draw!Y12,"")</f>
        <v>Hayden Seitz</v>
      </c>
      <c r="C12" s="23" t="str">
        <f>IFERROR(Draw!Z12,"")</f>
        <v>Jitter</v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6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9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70" t="s">
        <v>78</v>
      </c>
      <c r="AL12" s="270"/>
      <c r="AM12" s="270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5" t="s">
        <v>27</v>
      </c>
      <c r="J13" s="276"/>
      <c r="K13" s="58">
        <v>4</v>
      </c>
      <c r="L13" s="266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9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70" t="s">
        <v>10</v>
      </c>
      <c r="AL13" s="270"/>
      <c r="AM13" s="270"/>
      <c r="AN13" s="176">
        <f>AN12*AT2</f>
        <v>0</v>
      </c>
    </row>
    <row r="14" spans="1:46" ht="16.5" thickBot="1">
      <c r="A14" s="22" t="str">
        <f>IF(B14="","",Draw!X14)</f>
        <v>oy</v>
      </c>
      <c r="B14" s="23" t="str">
        <f>IFERROR(Draw!Y14,"")</f>
        <v>Kennedy Stephens</v>
      </c>
      <c r="C14" s="23" t="str">
        <f>IFERROR(Draw!Z14,"")</f>
        <v>Hollywood</v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7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9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7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9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8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9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4" t="s">
        <v>77</v>
      </c>
      <c r="I18" s="285"/>
      <c r="J18" s="174">
        <f>(COUNTIF('2nd Youth'!$A$2:$A$286,"&gt;0"))</f>
        <v>0</v>
      </c>
      <c r="L18" s="278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9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8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9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9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9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80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9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81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9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81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9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81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9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82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9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71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9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72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9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72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9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72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9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3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9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9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9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9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9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4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Megan Rosendahl</v>
      </c>
      <c r="C2" s="95" t="str">
        <f>IFERROR(IF(INDEX('2nd Youth'!$A:$F,MATCH('2nd Youth Results'!$E2,'2nd Youth'!$F:$F,0),3)&gt;0,INDEX('2nd Youth'!$A:$F,MATCH('2nd Youth Results'!$E2,'2nd Youth'!$F:$F,0),3),""),"")</f>
        <v>A Dash of Jerzy Cash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Megan Rosendahl</v>
      </c>
      <c r="C3" s="95" t="str">
        <f>IFERROR(IF(INDEX('2nd Youth'!$A:$F,MATCH('2nd Youth Results'!$E3,'2nd Youth'!$F:$F,0),3)&gt;0,INDEX('2nd Youth'!$A:$F,MATCH('2nd Youth Results'!$E3,'2nd Youth'!$F:$F,0),3),""),"")</f>
        <v>A Dash of Jerzy Cash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Megan Rosendahl</v>
      </c>
      <c r="C4" s="95" t="str">
        <f>IFERROR(IF(INDEX('2nd Youth'!$A:$F,MATCH('2nd Youth Results'!$E4,'2nd Youth'!$F:$F,0),3)&gt;0,INDEX('2nd Youth'!$A:$F,MATCH('2nd Youth Results'!$E4,'2nd Youth'!$F:$F,0),3),""),"")</f>
        <v>A Dash of Jerzy Cash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Megan Rosendahl</v>
      </c>
      <c r="C5" s="95" t="str">
        <f>IFERROR(IF(INDEX('2nd Youth'!$A:$F,MATCH('2nd Youth Results'!$E5,'2nd Youth'!$F:$F,0),3)&gt;0,INDEX('2nd Youth'!$A:$F,MATCH('2nd Youth Results'!$E5,'2nd Youth'!$F:$F,0),3),""),"")</f>
        <v>A Dash of Jerzy Cash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Megan Rosendahl</v>
      </c>
      <c r="C6" s="95" t="str">
        <f>IFERROR(IF(INDEX('2nd Youth'!$A:$F,MATCH('2nd Youth Results'!$E6,'2nd Youth'!$F:$F,0),3)&gt;0,INDEX('2nd Youth'!$A:$F,MATCH('2nd Youth Results'!$E6,'2nd Youth'!$F:$F,0),3),""),"")</f>
        <v>A Dash of Jerzy Cash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Megan Rosendahl</v>
      </c>
      <c r="C7" s="95" t="str">
        <f>IFERROR(IF(INDEX('2nd Youth'!$A:$F,MATCH('2nd Youth Results'!$E7,'2nd Youth'!$F:$F,0),3)&gt;0,INDEX('2nd Youth'!$A:$F,MATCH('2nd Youth Results'!$E7,'2nd Youth'!$F:$F,0),3),""),"")</f>
        <v>A Dash of Jerzy Cash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Megan Rosendahl</v>
      </c>
      <c r="C8" s="95" t="str">
        <f>IFERROR(IF(INDEX('2nd Youth'!$A:$F,MATCH('2nd Youth Results'!$E8,'2nd Youth'!$F:$F,0),3)&gt;0,INDEX('2nd Youth'!$A:$F,MATCH('2nd Youth Results'!$E8,'2nd Youth'!$F:$F,0),3),""),"")</f>
        <v>A Dash of Jerzy Cash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Megan Rosendahl</v>
      </c>
      <c r="C9" s="95" t="str">
        <f>IFERROR(IF(INDEX('2nd Youth'!$A:$F,MATCH('2nd Youth Results'!$E9,'2nd Youth'!$F:$F,0),3)&gt;0,INDEX('2nd Youth'!$A:$F,MATCH('2nd Youth Results'!$E9,'2nd Youth'!$F:$F,0),3),""),"")</f>
        <v>A Dash of Jerzy Cash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Megan Rosendahl</v>
      </c>
      <c r="C10" s="95" t="str">
        <f>IFERROR(IF(INDEX('2nd Youth'!$A:$F,MATCH('2nd Youth Results'!$E10,'2nd Youth'!$F:$F,0),3)&gt;0,INDEX('2nd Youth'!$A:$F,MATCH('2nd Youth Results'!$E10,'2nd Youth'!$F:$F,0),3),""),"")</f>
        <v>A Dash of Jerzy Cash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Megan Rosendahl</v>
      </c>
      <c r="C11" s="95" t="str">
        <f>IFERROR(IF(INDEX('2nd Youth'!$A:$F,MATCH('2nd Youth Results'!$E11,'2nd Youth'!$F:$F,0),3)&gt;0,INDEX('2nd Youth'!$A:$F,MATCH('2nd Youth Results'!$E11,'2nd Youth'!$F:$F,0),3),""),"")</f>
        <v>A Dash of Jerzy Cash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Megan Rosendahl</v>
      </c>
      <c r="C12" s="95" t="str">
        <f>IFERROR(IF(INDEX('2nd Youth'!$A:$F,MATCH('2nd Youth Results'!$E12,'2nd Youth'!$F:$F,0),3)&gt;0,INDEX('2nd Youth'!$A:$F,MATCH('2nd Youth Results'!$E12,'2nd Youth'!$F:$F,0),3),""),"")</f>
        <v>A Dash of Jerzy Cash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Megan Rosendahl</v>
      </c>
      <c r="C13" s="95" t="str">
        <f>IFERROR(IF(INDEX('2nd Youth'!$A:$F,MATCH('2nd Youth Results'!$E13,'2nd Youth'!$F:$F,0),3)&gt;0,INDEX('2nd Youth'!$A:$F,MATCH('2nd Youth Results'!$E13,'2nd Youth'!$F:$F,0),3),""),"")</f>
        <v>A Dash of Jerzy Cash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Megan Rosendahl</v>
      </c>
      <c r="C14" s="95" t="str">
        <f>IFERROR(IF(INDEX('2nd Youth'!$A:$F,MATCH('2nd Youth Results'!$E14,'2nd Youth'!$F:$F,0),3)&gt;0,INDEX('2nd Youth'!$A:$F,MATCH('2nd Youth Results'!$E14,'2nd Youth'!$F:$F,0),3),""),"")</f>
        <v>A Dash of Jerzy Cash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Megan Rosendahl</v>
      </c>
      <c r="C15" s="95" t="str">
        <f>IFERROR(IF(INDEX('2nd Youth'!$A:$F,MATCH('2nd Youth Results'!$E15,'2nd Youth'!$F:$F,0),3)&gt;0,INDEX('2nd Youth'!$A:$F,MATCH('2nd Youth Results'!$E15,'2nd Youth'!$F:$F,0),3),""),"")</f>
        <v>A Dash of Jerzy Cash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Megan Rosendahl</v>
      </c>
      <c r="C16" s="95" t="str">
        <f>IFERROR(IF(INDEX('2nd Youth'!$A:$F,MATCH('2nd Youth Results'!$E16,'2nd Youth'!$F:$F,0),3)&gt;0,INDEX('2nd Youth'!$A:$F,MATCH('2nd Youth Results'!$E16,'2nd Youth'!$F:$F,0),3),""),"")</f>
        <v>A Dash of Jerzy Cash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Megan Rosendahl</v>
      </c>
      <c r="C17" s="95" t="str">
        <f>IFERROR(IF(INDEX('2nd Youth'!$A:$F,MATCH('2nd Youth Results'!$E17,'2nd Youth'!$F:$F,0),3)&gt;0,INDEX('2nd Youth'!$A:$F,MATCH('2nd Youth Results'!$E17,'2nd Youth'!$F:$F,0),3),""),"")</f>
        <v>A Dash of Jerzy Cash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Megan Rosendahl</v>
      </c>
      <c r="C18" s="95" t="str">
        <f>IFERROR(IF(INDEX('2nd Youth'!$A:$F,MATCH('2nd Youth Results'!$E18,'2nd Youth'!$F:$F,0),3)&gt;0,INDEX('2nd Youth'!$A:$F,MATCH('2nd Youth Results'!$E18,'2nd Youth'!$F:$F,0),3),""),"")</f>
        <v>A Dash of Jerzy Cash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Megan Rosendahl</v>
      </c>
      <c r="C19" s="95" t="str">
        <f>IFERROR(IF(INDEX('2nd Youth'!$A:$F,MATCH('2nd Youth Results'!$E19,'2nd Youth'!$F:$F,0),3)&gt;0,INDEX('2nd Youth'!$A:$F,MATCH('2nd Youth Results'!$E19,'2nd Youth'!$F:$F,0),3),""),"")</f>
        <v>A Dash of Jerzy Cash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Megan Rosendahl</v>
      </c>
      <c r="C20" s="95" t="str">
        <f>IFERROR(IF(INDEX('2nd Youth'!$A:$F,MATCH('2nd Youth Results'!$E20,'2nd Youth'!$F:$F,0),3)&gt;0,INDEX('2nd Youth'!$A:$F,MATCH('2nd Youth Results'!$E20,'2nd Youth'!$F:$F,0),3),""),"")</f>
        <v>A Dash of Jerzy Cash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Megan Rosendahl</v>
      </c>
      <c r="C21" s="95" t="str">
        <f>IFERROR(IF(INDEX('2nd Youth'!$A:$F,MATCH('2nd Youth Results'!$E21,'2nd Youth'!$F:$F,0),3)&gt;0,INDEX('2nd Youth'!$A:$F,MATCH('2nd Youth Results'!$E21,'2nd Youth'!$F:$F,0),3),""),"")</f>
        <v>A Dash of Jerzy Cash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Megan Rosendahl</v>
      </c>
      <c r="C22" s="95" t="str">
        <f>IFERROR(IF(INDEX('2nd Youth'!$A:$F,MATCH('2nd Youth Results'!$E22,'2nd Youth'!$F:$F,0),3)&gt;0,INDEX('2nd Youth'!$A:$F,MATCH('2nd Youth Results'!$E22,'2nd Youth'!$F:$F,0),3),""),"")</f>
        <v>A Dash of Jerzy Cash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Megan Rosendahl</v>
      </c>
      <c r="C23" s="95" t="str">
        <f>IFERROR(IF(INDEX('2nd Youth'!$A:$F,MATCH('2nd Youth Results'!$E23,'2nd Youth'!$F:$F,0),3)&gt;0,INDEX('2nd Youth'!$A:$F,MATCH('2nd Youth Results'!$E23,'2nd Youth'!$F:$F,0),3),""),"")</f>
        <v>A Dash of Jerzy Cash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Megan Rosendahl</v>
      </c>
      <c r="C24" s="95" t="str">
        <f>IFERROR(IF(INDEX('2nd Youth'!$A:$F,MATCH('2nd Youth Results'!$E24,'2nd Youth'!$F:$F,0),3)&gt;0,INDEX('2nd Youth'!$A:$F,MATCH('2nd Youth Results'!$E24,'2nd Youth'!$F:$F,0),3),""),"")</f>
        <v>A Dash of Jerzy Cash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Megan Rosendahl</v>
      </c>
      <c r="C25" s="95" t="str">
        <f>IFERROR(IF(INDEX('2nd Youth'!$A:$F,MATCH('2nd Youth Results'!$E25,'2nd Youth'!$F:$F,0),3)&gt;0,INDEX('2nd Youth'!$A:$F,MATCH('2nd Youth Results'!$E25,'2nd Youth'!$F:$F,0),3),""),"")</f>
        <v>A Dash of Jerzy Cash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Megan Rosendahl</v>
      </c>
      <c r="C26" s="95" t="str">
        <f>IFERROR(IF(INDEX('2nd Youth'!$A:$F,MATCH('2nd Youth Results'!$E26,'2nd Youth'!$F:$F,0),3)&gt;0,INDEX('2nd Youth'!$A:$F,MATCH('2nd Youth Results'!$E26,'2nd Youth'!$F:$F,0),3),""),"")</f>
        <v>A Dash of Jerzy Cash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Megan Rosendahl</v>
      </c>
      <c r="C27" s="95" t="str">
        <f>IFERROR(IF(INDEX('2nd Youth'!$A:$F,MATCH('2nd Youth Results'!$E27,'2nd Youth'!$F:$F,0),3)&gt;0,INDEX('2nd Youth'!$A:$F,MATCH('2nd Youth Results'!$E27,'2nd Youth'!$F:$F,0),3),""),"")</f>
        <v>A Dash of Jerzy Cash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Megan Rosendahl</v>
      </c>
      <c r="C28" s="95" t="str">
        <f>IFERROR(IF(INDEX('2nd Youth'!$A:$F,MATCH('2nd Youth Results'!$E28,'2nd Youth'!$F:$F,0),3)&gt;0,INDEX('2nd Youth'!$A:$F,MATCH('2nd Youth Results'!$E28,'2nd Youth'!$F:$F,0),3),""),"")</f>
        <v>A Dash of Jerzy Cash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Megan Rosendahl</v>
      </c>
      <c r="C29" s="95" t="str">
        <f>IFERROR(IF(INDEX('2nd Youth'!$A:$F,MATCH('2nd Youth Results'!$E29,'2nd Youth'!$F:$F,0),3)&gt;0,INDEX('2nd Youth'!$A:$F,MATCH('2nd Youth Results'!$E29,'2nd Youth'!$F:$F,0),3),""),"")</f>
        <v>A Dash of Jerzy Cash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Megan Rosendahl</v>
      </c>
      <c r="C30" s="95" t="str">
        <f>IFERROR(IF(INDEX('2nd Youth'!$A:$F,MATCH('2nd Youth Results'!$E30,'2nd Youth'!$F:$F,0),3)&gt;0,INDEX('2nd Youth'!$A:$F,MATCH('2nd Youth Results'!$E30,'2nd Youth'!$F:$F,0),3),""),"")</f>
        <v>A Dash of Jerzy Cash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Megan Rosendahl</v>
      </c>
      <c r="C31" s="95" t="str">
        <f>IFERROR(IF(INDEX('2nd Youth'!$A:$F,MATCH('2nd Youth Results'!$E31,'2nd Youth'!$F:$F,0),3)&gt;0,INDEX('2nd Youth'!$A:$F,MATCH('2nd Youth Results'!$E31,'2nd Youth'!$F:$F,0),3),""),"")</f>
        <v>A Dash of Jerzy Cash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Megan Rosendahl</v>
      </c>
      <c r="C32" s="95" t="str">
        <f>IFERROR(IF(INDEX('2nd Youth'!$A:$F,MATCH('2nd Youth Results'!$E32,'2nd Youth'!$F:$F,0),3)&gt;0,INDEX('2nd Youth'!$A:$F,MATCH('2nd Youth Results'!$E32,'2nd Youth'!$F:$F,0),3),""),"")</f>
        <v>A Dash of Jerzy Cash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Megan Rosendahl</v>
      </c>
      <c r="C33" s="95" t="str">
        <f>IFERROR(IF(INDEX('2nd Youth'!$A:$F,MATCH('2nd Youth Results'!$E33,'2nd Youth'!$F:$F,0),3)&gt;0,INDEX('2nd Youth'!$A:$F,MATCH('2nd Youth Results'!$E33,'2nd Youth'!$F:$F,0),3),""),"")</f>
        <v>A Dash of Jerzy Cash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Megan Rosendahl</v>
      </c>
      <c r="C34" s="95" t="str">
        <f>IFERROR(IF(INDEX('2nd Youth'!$A:$F,MATCH('2nd Youth Results'!$E34,'2nd Youth'!$F:$F,0),3)&gt;0,INDEX('2nd Youth'!$A:$F,MATCH('2nd Youth Results'!$E34,'2nd Youth'!$F:$F,0),3),""),"")</f>
        <v>A Dash of Jerzy Cash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Megan Rosendahl</v>
      </c>
      <c r="C35" s="95" t="str">
        <f>IFERROR(IF(INDEX('2nd Youth'!$A:$F,MATCH('2nd Youth Results'!$E35,'2nd Youth'!$F:$F,0),3)&gt;0,INDEX('2nd Youth'!$A:$F,MATCH('2nd Youth Results'!$E35,'2nd Youth'!$F:$F,0),3),""),"")</f>
        <v>A Dash of Jerzy Cash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Megan Rosendahl</v>
      </c>
      <c r="C36" s="95" t="str">
        <f>IFERROR(IF(INDEX('2nd Youth'!$A:$F,MATCH('2nd Youth Results'!$E36,'2nd Youth'!$F:$F,0),3)&gt;0,INDEX('2nd Youth'!$A:$F,MATCH('2nd Youth Results'!$E36,'2nd Youth'!$F:$F,0),3),""),"")</f>
        <v>A Dash of Jerzy Cash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Megan Rosendahl</v>
      </c>
      <c r="C37" s="95" t="str">
        <f>IFERROR(IF(INDEX('2nd Youth'!$A:$F,MATCH('2nd Youth Results'!$E37,'2nd Youth'!$F:$F,0),3)&gt;0,INDEX('2nd Youth'!$A:$F,MATCH('2nd Youth Results'!$E37,'2nd Youth'!$F:$F,0),3),""),"")</f>
        <v>A Dash of Jerzy Cash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Megan Rosendahl</v>
      </c>
      <c r="C38" s="95" t="str">
        <f>IFERROR(IF(INDEX('2nd Youth'!$A:$F,MATCH('2nd Youth Results'!$E38,'2nd Youth'!$F:$F,0),3)&gt;0,INDEX('2nd Youth'!$A:$F,MATCH('2nd Youth Results'!$E38,'2nd Youth'!$F:$F,0),3),""),"")</f>
        <v>A Dash of Jerzy Cash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Megan Rosendahl</v>
      </c>
      <c r="C39" s="95" t="str">
        <f>IFERROR(IF(INDEX('2nd Youth'!$A:$F,MATCH('2nd Youth Results'!$E39,'2nd Youth'!$F:$F,0),3)&gt;0,INDEX('2nd Youth'!$A:$F,MATCH('2nd Youth Results'!$E39,'2nd Youth'!$F:$F,0),3),""),"")</f>
        <v>A Dash of Jerzy Cash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Megan Rosendahl</v>
      </c>
      <c r="C40" s="95" t="str">
        <f>IFERROR(IF(INDEX('2nd Youth'!$A:$F,MATCH('2nd Youth Results'!$E40,'2nd Youth'!$F:$F,0),3)&gt;0,INDEX('2nd Youth'!$A:$F,MATCH('2nd Youth Results'!$E40,'2nd Youth'!$F:$F,0),3),""),"")</f>
        <v>A Dash of Jerzy Cash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Megan Rosendahl</v>
      </c>
      <c r="C41" s="95" t="str">
        <f>IFERROR(IF(INDEX('2nd Youth'!$A:$F,MATCH('2nd Youth Results'!$E41,'2nd Youth'!$F:$F,0),3)&gt;0,INDEX('2nd Youth'!$A:$F,MATCH('2nd Youth Results'!$E41,'2nd Youth'!$F:$F,0),3),""),"")</f>
        <v>A Dash of Jerzy Cash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Megan Rosendahl</v>
      </c>
      <c r="C42" s="95" t="str">
        <f>IFERROR(IF(INDEX('2nd Youth'!$A:$F,MATCH('2nd Youth Results'!$E42,'2nd Youth'!$F:$F,0),3)&gt;0,INDEX('2nd Youth'!$A:$F,MATCH('2nd Youth Results'!$E42,'2nd Youth'!$F:$F,0),3),""),"")</f>
        <v>A Dash of Jerzy Cash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Megan Rosendahl</v>
      </c>
      <c r="C43" s="95" t="str">
        <f>IFERROR(IF(INDEX('2nd Youth'!$A:$F,MATCH('2nd Youth Results'!$E43,'2nd Youth'!$F:$F,0),3)&gt;0,INDEX('2nd Youth'!$A:$F,MATCH('2nd Youth Results'!$E43,'2nd Youth'!$F:$F,0),3),""),"")</f>
        <v>A Dash of Jerzy Cash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Megan Rosendahl</v>
      </c>
      <c r="C44" s="95" t="str">
        <f>IFERROR(IF(INDEX('2nd Youth'!$A:$F,MATCH('2nd Youth Results'!$E44,'2nd Youth'!$F:$F,0),3)&gt;0,INDEX('2nd Youth'!$A:$F,MATCH('2nd Youth Results'!$E44,'2nd Youth'!$F:$F,0),3),""),"")</f>
        <v>A Dash of Jerzy Cash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Megan Rosendahl</v>
      </c>
      <c r="C45" s="95" t="str">
        <f>IFERROR(IF(INDEX('2nd Youth'!$A:$F,MATCH('2nd Youth Results'!$E45,'2nd Youth'!$F:$F,0),3)&gt;0,INDEX('2nd Youth'!$A:$F,MATCH('2nd Youth Results'!$E45,'2nd Youth'!$F:$F,0),3),""),"")</f>
        <v>A Dash of Jerzy Cash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Megan Rosendahl</v>
      </c>
      <c r="C46" s="95" t="str">
        <f>IFERROR(IF(INDEX('2nd Youth'!$A:$F,MATCH('2nd Youth Results'!$E46,'2nd Youth'!$F:$F,0),3)&gt;0,INDEX('2nd Youth'!$A:$F,MATCH('2nd Youth Results'!$E46,'2nd Youth'!$F:$F,0),3),""),"")</f>
        <v>A Dash of Jerzy Cash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Megan Rosendahl</v>
      </c>
      <c r="C47" s="95" t="str">
        <f>IFERROR(IF(INDEX('2nd Youth'!$A:$F,MATCH('2nd Youth Results'!$E47,'2nd Youth'!$F:$F,0),3)&gt;0,INDEX('2nd Youth'!$A:$F,MATCH('2nd Youth Results'!$E47,'2nd Youth'!$F:$F,0),3),""),"")</f>
        <v>A Dash of Jerzy Cash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Megan Rosendahl</v>
      </c>
      <c r="C48" s="95" t="str">
        <f>IFERROR(IF(INDEX('2nd Youth'!$A:$F,MATCH('2nd Youth Results'!$E48,'2nd Youth'!$F:$F,0),3)&gt;0,INDEX('2nd Youth'!$A:$F,MATCH('2nd Youth Results'!$E48,'2nd Youth'!$F:$F,0),3),""),"")</f>
        <v>A Dash of Jerzy Cash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Megan Rosendahl</v>
      </c>
      <c r="C49" s="95" t="str">
        <f>IFERROR(IF(INDEX('2nd Youth'!$A:$F,MATCH('2nd Youth Results'!$E49,'2nd Youth'!$F:$F,0),3)&gt;0,INDEX('2nd Youth'!$A:$F,MATCH('2nd Youth Results'!$E49,'2nd Youth'!$F:$F,0),3),""),"")</f>
        <v>A Dash of Jerzy Cash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Megan Rosendahl</v>
      </c>
      <c r="C50" s="95" t="str">
        <f>IFERROR(IF(INDEX('2nd Youth'!$A:$F,MATCH('2nd Youth Results'!$E50,'2nd Youth'!$F:$F,0),3)&gt;0,INDEX('2nd Youth'!$A:$F,MATCH('2nd Youth Results'!$E50,'2nd Youth'!$F:$F,0),3),""),"")</f>
        <v>A Dash of Jerzy Cash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Megan Rosendahl</v>
      </c>
      <c r="C51" s="95" t="str">
        <f>IFERROR(IF(INDEX('2nd Youth'!$A:$F,MATCH('2nd Youth Results'!$E51,'2nd Youth'!$F:$F,0),3)&gt;0,INDEX('2nd Youth'!$A:$F,MATCH('2nd Youth Results'!$E51,'2nd Youth'!$F:$F,0),3),""),"")</f>
        <v>A Dash of Jerzy Cash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Megan Rosendahl</v>
      </c>
      <c r="C52" s="95" t="str">
        <f>IFERROR(IF(INDEX('2nd Youth'!$A:$F,MATCH('2nd Youth Results'!$E52,'2nd Youth'!$F:$F,0),3)&gt;0,INDEX('2nd Youth'!$A:$F,MATCH('2nd Youth Results'!$E52,'2nd Youth'!$F:$F,0),3),""),"")</f>
        <v>A Dash of Jerzy Cash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Megan Rosendahl</v>
      </c>
      <c r="C53" s="95" t="str">
        <f>IFERROR(IF(INDEX('2nd Youth'!$A:$F,MATCH('2nd Youth Results'!$E53,'2nd Youth'!$F:$F,0),3)&gt;0,INDEX('2nd Youth'!$A:$F,MATCH('2nd Youth Results'!$E53,'2nd Youth'!$F:$F,0),3),""),"")</f>
        <v>A Dash of Jerzy Cash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Megan Rosendahl</v>
      </c>
      <c r="C54" s="95" t="str">
        <f>IFERROR(IF(INDEX('2nd Youth'!$A:$F,MATCH('2nd Youth Results'!$E54,'2nd Youth'!$F:$F,0),3)&gt;0,INDEX('2nd Youth'!$A:$F,MATCH('2nd Youth Results'!$E54,'2nd Youth'!$F:$F,0),3),""),"")</f>
        <v>A Dash of Jerzy Cash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Megan Rosendahl</v>
      </c>
      <c r="C55" s="95" t="str">
        <f>IFERROR(IF(INDEX('2nd Youth'!$A:$F,MATCH('2nd Youth Results'!$E55,'2nd Youth'!$F:$F,0),3)&gt;0,INDEX('2nd Youth'!$A:$F,MATCH('2nd Youth Results'!$E55,'2nd Youth'!$F:$F,0),3),""),"")</f>
        <v>A Dash of Jerzy Cash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Megan Rosendahl</v>
      </c>
      <c r="C56" s="95" t="str">
        <f>IFERROR(IF(INDEX('2nd Youth'!$A:$F,MATCH('2nd Youth Results'!$E56,'2nd Youth'!$F:$F,0),3)&gt;0,INDEX('2nd Youth'!$A:$F,MATCH('2nd Youth Results'!$E56,'2nd Youth'!$F:$F,0),3),""),"")</f>
        <v>A Dash of Jerzy Cash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Megan Rosendahl</v>
      </c>
      <c r="C57" s="95" t="str">
        <f>IFERROR(IF(INDEX('2nd Youth'!$A:$F,MATCH('2nd Youth Results'!$E57,'2nd Youth'!$F:$F,0),3)&gt;0,INDEX('2nd Youth'!$A:$F,MATCH('2nd Youth Results'!$E57,'2nd Youth'!$F:$F,0),3),""),"")</f>
        <v>A Dash of Jerzy Cash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Megan Rosendahl</v>
      </c>
      <c r="C58" s="95" t="str">
        <f>IFERROR(IF(INDEX('2nd Youth'!$A:$F,MATCH('2nd Youth Results'!$E58,'2nd Youth'!$F:$F,0),3)&gt;0,INDEX('2nd Youth'!$A:$F,MATCH('2nd Youth Results'!$E58,'2nd Youth'!$F:$F,0),3),""),"")</f>
        <v>A Dash of Jerzy Cash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Megan Rosendahl</v>
      </c>
      <c r="C59" s="95" t="str">
        <f>IFERROR(IF(INDEX('2nd Youth'!$A:$F,MATCH('2nd Youth Results'!$E59,'2nd Youth'!$F:$F,0),3)&gt;0,INDEX('2nd Youth'!$A:$F,MATCH('2nd Youth Results'!$E59,'2nd Youth'!$F:$F,0),3),""),"")</f>
        <v>A Dash of Jerzy Cash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Megan Rosendahl</v>
      </c>
      <c r="C60" s="95" t="str">
        <f>IFERROR(IF(INDEX('2nd Youth'!$A:$F,MATCH('2nd Youth Results'!$E60,'2nd Youth'!$F:$F,0),3)&gt;0,INDEX('2nd Youth'!$A:$F,MATCH('2nd Youth Results'!$E60,'2nd Youth'!$F:$F,0),3),""),"")</f>
        <v>A Dash of Jerzy Cash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Megan Rosendahl</v>
      </c>
      <c r="C61" s="95" t="str">
        <f>IFERROR(IF(INDEX('2nd Youth'!$A:$F,MATCH('2nd Youth Results'!$E61,'2nd Youth'!$F:$F,0),3)&gt;0,INDEX('2nd Youth'!$A:$F,MATCH('2nd Youth Results'!$E61,'2nd Youth'!$F:$F,0),3),""),"")</f>
        <v>A Dash of Jerzy Cash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Megan Rosendahl</v>
      </c>
      <c r="C62" s="95" t="str">
        <f>IFERROR(IF(INDEX('2nd Youth'!$A:$F,MATCH('2nd Youth Results'!$E62,'2nd Youth'!$F:$F,0),3)&gt;0,INDEX('2nd Youth'!$A:$F,MATCH('2nd Youth Results'!$E62,'2nd Youth'!$F:$F,0),3),""),"")</f>
        <v>A Dash of Jerzy Cash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Megan Rosendahl</v>
      </c>
      <c r="C63" s="95" t="str">
        <f>IFERROR(IF(INDEX('2nd Youth'!$A:$F,MATCH('2nd Youth Results'!$E63,'2nd Youth'!$F:$F,0),3)&gt;0,INDEX('2nd Youth'!$A:$F,MATCH('2nd Youth Results'!$E63,'2nd Youth'!$F:$F,0),3),""),"")</f>
        <v>A Dash of Jerzy Cash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Megan Rosendahl</v>
      </c>
      <c r="C64" s="95" t="str">
        <f>IFERROR(IF(INDEX('2nd Youth'!$A:$F,MATCH('2nd Youth Results'!$E64,'2nd Youth'!$F:$F,0),3)&gt;0,INDEX('2nd Youth'!$A:$F,MATCH('2nd Youth Results'!$E64,'2nd Youth'!$F:$F,0),3),""),"")</f>
        <v>A Dash of Jerzy Cash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Megan Rosendahl</v>
      </c>
      <c r="C65" s="95" t="str">
        <f>IFERROR(IF(INDEX('2nd Youth'!$A:$F,MATCH('2nd Youth Results'!$E65,'2nd Youth'!$F:$F,0),3)&gt;0,INDEX('2nd Youth'!$A:$F,MATCH('2nd Youth Results'!$E65,'2nd Youth'!$F:$F,0),3),""),"")</f>
        <v>A Dash of Jerzy Cash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Megan Rosendahl</v>
      </c>
      <c r="C66" s="95" t="str">
        <f>IFERROR(IF(INDEX('2nd Youth'!$A:$F,MATCH('2nd Youth Results'!$E66,'2nd Youth'!$F:$F,0),3)&gt;0,INDEX('2nd Youth'!$A:$F,MATCH('2nd Youth Results'!$E66,'2nd Youth'!$F:$F,0),3),""),"")</f>
        <v>A Dash of Jerzy Cash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Megan Rosendahl</v>
      </c>
      <c r="C67" s="95" t="str">
        <f>IFERROR(IF(INDEX('2nd Youth'!$A:$F,MATCH('2nd Youth Results'!$E67,'2nd Youth'!$F:$F,0),3)&gt;0,INDEX('2nd Youth'!$A:$F,MATCH('2nd Youth Results'!$E67,'2nd Youth'!$F:$F,0),3),""),"")</f>
        <v>A Dash of Jerzy Cash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Megan Rosendahl</v>
      </c>
      <c r="C68" s="95" t="str">
        <f>IFERROR(IF(INDEX('2nd Youth'!$A:$F,MATCH('2nd Youth Results'!$E68,'2nd Youth'!$F:$F,0),3)&gt;0,INDEX('2nd Youth'!$A:$F,MATCH('2nd Youth Results'!$E68,'2nd Youth'!$F:$F,0),3),""),"")</f>
        <v>A Dash of Jerzy Cash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Megan Rosendahl</v>
      </c>
      <c r="C69" s="95" t="str">
        <f>IFERROR(IF(INDEX('2nd Youth'!$A:$F,MATCH('2nd Youth Results'!$E69,'2nd Youth'!$F:$F,0),3)&gt;0,INDEX('2nd Youth'!$A:$F,MATCH('2nd Youth Results'!$E69,'2nd Youth'!$F:$F,0),3),""),"")</f>
        <v>A Dash of Jerzy Cash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Megan Rosendahl</v>
      </c>
      <c r="C70" s="95" t="str">
        <f>IFERROR(IF(INDEX('2nd Youth'!$A:$F,MATCH('2nd Youth Results'!$E70,'2nd Youth'!$F:$F,0),3)&gt;0,INDEX('2nd Youth'!$A:$F,MATCH('2nd Youth Results'!$E70,'2nd Youth'!$F:$F,0),3),""),"")</f>
        <v>A Dash of Jerzy Cash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Megan Rosendahl</v>
      </c>
      <c r="C71" s="95" t="str">
        <f>IFERROR(IF(INDEX('2nd Youth'!$A:$F,MATCH('2nd Youth Results'!$E71,'2nd Youth'!$F:$F,0),3)&gt;0,INDEX('2nd Youth'!$A:$F,MATCH('2nd Youth Results'!$E71,'2nd Youth'!$F:$F,0),3),""),"")</f>
        <v>A Dash of Jerzy Cash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Megan Rosendahl</v>
      </c>
      <c r="C72" s="95" t="str">
        <f>IFERROR(IF(INDEX('2nd Youth'!$A:$F,MATCH('2nd Youth Results'!$E72,'2nd Youth'!$F:$F,0),3)&gt;0,INDEX('2nd Youth'!$A:$F,MATCH('2nd Youth Results'!$E72,'2nd Youth'!$F:$F,0),3),""),"")</f>
        <v>A Dash of Jerzy Cash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Megan Rosendahl</v>
      </c>
      <c r="C73" s="95" t="str">
        <f>IFERROR(IF(INDEX('2nd Youth'!$A:$F,MATCH('2nd Youth Results'!$E73,'2nd Youth'!$F:$F,0),3)&gt;0,INDEX('2nd Youth'!$A:$F,MATCH('2nd Youth Results'!$E73,'2nd Youth'!$F:$F,0),3),""),"")</f>
        <v>A Dash of Jerzy Cash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Megan Rosendahl</v>
      </c>
      <c r="C74" s="95" t="str">
        <f>IFERROR(IF(INDEX('2nd Youth'!$A:$F,MATCH('2nd Youth Results'!$E74,'2nd Youth'!$F:$F,0),3)&gt;0,INDEX('2nd Youth'!$A:$F,MATCH('2nd Youth Results'!$E74,'2nd Youth'!$F:$F,0),3),""),"")</f>
        <v>A Dash of Jerzy Cash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Megan Rosendahl</v>
      </c>
      <c r="C75" s="95" t="str">
        <f>IFERROR(IF(INDEX('2nd Youth'!$A:$F,MATCH('2nd Youth Results'!$E75,'2nd Youth'!$F:$F,0),3)&gt;0,INDEX('2nd Youth'!$A:$F,MATCH('2nd Youth Results'!$E75,'2nd Youth'!$F:$F,0),3),""),"")</f>
        <v>A Dash of Jerzy Cash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Megan Rosendahl</v>
      </c>
      <c r="C76" s="95" t="str">
        <f>IFERROR(IF(INDEX('2nd Youth'!$A:$F,MATCH('2nd Youth Results'!$E76,'2nd Youth'!$F:$F,0),3)&gt;0,INDEX('2nd Youth'!$A:$F,MATCH('2nd Youth Results'!$E76,'2nd Youth'!$F:$F,0),3),""),"")</f>
        <v>A Dash of Jerzy Cash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Megan Rosendahl</v>
      </c>
      <c r="C77" s="95" t="str">
        <f>IFERROR(IF(INDEX('2nd Youth'!$A:$F,MATCH('2nd Youth Results'!$E77,'2nd Youth'!$F:$F,0),3)&gt;0,INDEX('2nd Youth'!$A:$F,MATCH('2nd Youth Results'!$E77,'2nd Youth'!$F:$F,0),3),""),"")</f>
        <v>A Dash of Jerzy Cash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Megan Rosendahl</v>
      </c>
      <c r="C78" s="95" t="str">
        <f>IFERROR(IF(INDEX('2nd Youth'!$A:$F,MATCH('2nd Youth Results'!$E78,'2nd Youth'!$F:$F,0),3)&gt;0,INDEX('2nd Youth'!$A:$F,MATCH('2nd Youth Results'!$E78,'2nd Youth'!$F:$F,0),3),""),"")</f>
        <v>A Dash of Jerzy Cash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Megan Rosendahl</v>
      </c>
      <c r="C79" s="95" t="str">
        <f>IFERROR(IF(INDEX('2nd Youth'!$A:$F,MATCH('2nd Youth Results'!$E79,'2nd Youth'!$F:$F,0),3)&gt;0,INDEX('2nd Youth'!$A:$F,MATCH('2nd Youth Results'!$E79,'2nd Youth'!$F:$F,0),3),""),"")</f>
        <v>A Dash of Jerzy Cash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Megan Rosendahl</v>
      </c>
      <c r="C80" s="95" t="str">
        <f>IFERROR(IF(INDEX('2nd Youth'!$A:$F,MATCH('2nd Youth Results'!$E80,'2nd Youth'!$F:$F,0),3)&gt;0,INDEX('2nd Youth'!$A:$F,MATCH('2nd Youth Results'!$E80,'2nd Youth'!$F:$F,0),3),""),"")</f>
        <v>A Dash of Jerzy Cash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Megan Rosendahl</v>
      </c>
      <c r="C81" s="95" t="str">
        <f>IFERROR(IF(INDEX('2nd Youth'!$A:$F,MATCH('2nd Youth Results'!$E81,'2nd Youth'!$F:$F,0),3)&gt;0,INDEX('2nd Youth'!$A:$F,MATCH('2nd Youth Results'!$E81,'2nd Youth'!$F:$F,0),3),""),"")</f>
        <v>A Dash of Jerzy Cash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Megan Rosendahl</v>
      </c>
      <c r="C82" s="95" t="str">
        <f>IFERROR(IF(INDEX('2nd Youth'!$A:$F,MATCH('2nd Youth Results'!$E82,'2nd Youth'!$F:$F,0),3)&gt;0,INDEX('2nd Youth'!$A:$F,MATCH('2nd Youth Results'!$E82,'2nd Youth'!$F:$F,0),3),""),"")</f>
        <v>A Dash of Jerzy Cash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Megan Rosendahl</v>
      </c>
      <c r="C83" s="95" t="str">
        <f>IFERROR(IF(INDEX('2nd Youth'!$A:$F,MATCH('2nd Youth Results'!$E83,'2nd Youth'!$F:$F,0),3)&gt;0,INDEX('2nd Youth'!$A:$F,MATCH('2nd Youth Results'!$E83,'2nd Youth'!$F:$F,0),3),""),"")</f>
        <v>A Dash of Jerzy Cash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Megan Rosendahl</v>
      </c>
      <c r="C84" s="95" t="str">
        <f>IFERROR(IF(INDEX('2nd Youth'!$A:$F,MATCH('2nd Youth Results'!$E84,'2nd Youth'!$F:$F,0),3)&gt;0,INDEX('2nd Youth'!$A:$F,MATCH('2nd Youth Results'!$E84,'2nd Youth'!$F:$F,0),3),""),"")</f>
        <v>A Dash of Jerzy Cash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Megan Rosendahl</v>
      </c>
      <c r="C85" s="95" t="str">
        <f>IFERROR(IF(INDEX('2nd Youth'!$A:$F,MATCH('2nd Youth Results'!$E85,'2nd Youth'!$F:$F,0),3)&gt;0,INDEX('2nd Youth'!$A:$F,MATCH('2nd Youth Results'!$E85,'2nd Youth'!$F:$F,0),3),""),"")</f>
        <v>A Dash of Jerzy Cash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Megan Rosendahl</v>
      </c>
      <c r="C86" s="95" t="str">
        <f>IFERROR(IF(INDEX('2nd Youth'!$A:$F,MATCH('2nd Youth Results'!$E86,'2nd Youth'!$F:$F,0),3)&gt;0,INDEX('2nd Youth'!$A:$F,MATCH('2nd Youth Results'!$E86,'2nd Youth'!$F:$F,0),3),""),"")</f>
        <v>A Dash of Jerzy Cash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Megan Rosendahl</v>
      </c>
      <c r="C87" s="95" t="str">
        <f>IFERROR(IF(INDEX('2nd Youth'!$A:$F,MATCH('2nd Youth Results'!$E87,'2nd Youth'!$F:$F,0),3)&gt;0,INDEX('2nd Youth'!$A:$F,MATCH('2nd Youth Results'!$E87,'2nd Youth'!$F:$F,0),3),""),"")</f>
        <v>A Dash of Jerzy Cash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Megan Rosendahl</v>
      </c>
      <c r="C88" s="95" t="str">
        <f>IFERROR(IF(INDEX('2nd Youth'!$A:$F,MATCH('2nd Youth Results'!$E88,'2nd Youth'!$F:$F,0),3)&gt;0,INDEX('2nd Youth'!$A:$F,MATCH('2nd Youth Results'!$E88,'2nd Youth'!$F:$F,0),3),""),"")</f>
        <v>A Dash of Jerzy Cash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Megan Rosendahl</v>
      </c>
      <c r="C89" s="95" t="str">
        <f>IFERROR(IF(INDEX('2nd Youth'!$A:$F,MATCH('2nd Youth Results'!$E89,'2nd Youth'!$F:$F,0),3)&gt;0,INDEX('2nd Youth'!$A:$F,MATCH('2nd Youth Results'!$E89,'2nd Youth'!$F:$F,0),3),""),"")</f>
        <v>A Dash of Jerzy Cash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Megan Rosendahl</v>
      </c>
      <c r="C90" s="95" t="str">
        <f>IFERROR(IF(INDEX('2nd Youth'!$A:$F,MATCH('2nd Youth Results'!$E90,'2nd Youth'!$F:$F,0),3)&gt;0,INDEX('2nd Youth'!$A:$F,MATCH('2nd Youth Results'!$E90,'2nd Youth'!$F:$F,0),3),""),"")</f>
        <v>A Dash of Jerzy Cash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Megan Rosendahl</v>
      </c>
      <c r="C91" s="95" t="str">
        <f>IFERROR(IF(INDEX('2nd Youth'!$A:$F,MATCH('2nd Youth Results'!$E91,'2nd Youth'!$F:$F,0),3)&gt;0,INDEX('2nd Youth'!$A:$F,MATCH('2nd Youth Results'!$E91,'2nd Youth'!$F:$F,0),3),""),"")</f>
        <v>A Dash of Jerzy Cash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Megan Rosendahl</v>
      </c>
      <c r="C92" s="95" t="str">
        <f>IFERROR(IF(INDEX('2nd Youth'!$A:$F,MATCH('2nd Youth Results'!$E92,'2nd Youth'!$F:$F,0),3)&gt;0,INDEX('2nd Youth'!$A:$F,MATCH('2nd Youth Results'!$E92,'2nd Youth'!$F:$F,0),3),""),"")</f>
        <v>A Dash of Jerzy Cash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Megan Rosendahl</v>
      </c>
      <c r="C93" s="95" t="str">
        <f>IFERROR(IF(INDEX('2nd Youth'!$A:$F,MATCH('2nd Youth Results'!$E93,'2nd Youth'!$F:$F,0),3)&gt;0,INDEX('2nd Youth'!$A:$F,MATCH('2nd Youth Results'!$E93,'2nd Youth'!$F:$F,0),3),""),"")</f>
        <v>A Dash of Jerzy Cash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Megan Rosendahl</v>
      </c>
      <c r="C94" s="95" t="str">
        <f>IFERROR(IF(INDEX('2nd Youth'!$A:$F,MATCH('2nd Youth Results'!$E94,'2nd Youth'!$F:$F,0),3)&gt;0,INDEX('2nd Youth'!$A:$F,MATCH('2nd Youth Results'!$E94,'2nd Youth'!$F:$F,0),3),""),"")</f>
        <v>A Dash of Jerzy Cash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Megan Rosendahl</v>
      </c>
      <c r="C95" s="95" t="str">
        <f>IFERROR(IF(INDEX('2nd Youth'!$A:$F,MATCH('2nd Youth Results'!$E95,'2nd Youth'!$F:$F,0),3)&gt;0,INDEX('2nd Youth'!$A:$F,MATCH('2nd Youth Results'!$E95,'2nd Youth'!$F:$F,0),3),""),"")</f>
        <v>A Dash of Jerzy Cash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Megan Rosendahl</v>
      </c>
      <c r="C96" s="95" t="str">
        <f>IFERROR(IF(INDEX('2nd Youth'!$A:$F,MATCH('2nd Youth Results'!$E96,'2nd Youth'!$F:$F,0),3)&gt;0,INDEX('2nd Youth'!$A:$F,MATCH('2nd Youth Results'!$E96,'2nd Youth'!$F:$F,0),3),""),"")</f>
        <v>A Dash of Jerzy Cash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Megan Rosendahl</v>
      </c>
      <c r="C97" s="95" t="str">
        <f>IFERROR(IF(INDEX('2nd Youth'!$A:$F,MATCH('2nd Youth Results'!$E97,'2nd Youth'!$F:$F,0),3)&gt;0,INDEX('2nd Youth'!$A:$F,MATCH('2nd Youth Results'!$E97,'2nd Youth'!$F:$F,0),3),""),"")</f>
        <v>A Dash of Jerzy Cash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Megan Rosendahl</v>
      </c>
      <c r="C98" s="95" t="str">
        <f>IFERROR(IF(INDEX('2nd Youth'!$A:$F,MATCH('2nd Youth Results'!$E98,'2nd Youth'!$F:$F,0),3)&gt;0,INDEX('2nd Youth'!$A:$F,MATCH('2nd Youth Results'!$E98,'2nd Youth'!$F:$F,0),3),""),"")</f>
        <v>A Dash of Jerzy Cash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Megan Rosendahl</v>
      </c>
      <c r="C99" s="95" t="str">
        <f>IFERROR(IF(INDEX('2nd Youth'!$A:$F,MATCH('2nd Youth Results'!$E99,'2nd Youth'!$F:$F,0),3)&gt;0,INDEX('2nd Youth'!$A:$F,MATCH('2nd Youth Results'!$E99,'2nd Youth'!$F:$F,0),3),""),"")</f>
        <v>A Dash of Jerzy Cash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Megan Rosendahl</v>
      </c>
      <c r="C100" s="95" t="str">
        <f>IFERROR(IF(INDEX('2nd Youth'!$A:$F,MATCH('2nd Youth Results'!$E100,'2nd Youth'!$F:$F,0),3)&gt;0,INDEX('2nd Youth'!$A:$F,MATCH('2nd Youth Results'!$E100,'2nd Youth'!$F:$F,0),3),""),"")</f>
        <v>A Dash of Jerzy Cash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Megan Rosendahl</v>
      </c>
      <c r="C101" s="95" t="str">
        <f>IFERROR(IF(INDEX('2nd Youth'!$A:$F,MATCH('2nd Youth Results'!$E101,'2nd Youth'!$F:$F,0),3)&gt;0,INDEX('2nd Youth'!$A:$F,MATCH('2nd Youth Results'!$E101,'2nd Youth'!$F:$F,0),3),""),"")</f>
        <v>A Dash of Jerzy Cash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Megan Rosendahl</v>
      </c>
      <c r="C102" s="95" t="str">
        <f>IFERROR(IF(INDEX('2nd Youth'!$A:$F,MATCH('2nd Youth Results'!$E102,'2nd Youth'!$F:$F,0),3)&gt;0,INDEX('2nd Youth'!$A:$F,MATCH('2nd Youth Results'!$E102,'2nd Youth'!$F:$F,0),3),""),"")</f>
        <v>A Dash of Jerzy Cash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Megan Rosendahl</v>
      </c>
      <c r="C103" s="95" t="str">
        <f>IFERROR(IF(INDEX('2nd Youth'!$A:$F,MATCH('2nd Youth Results'!$E103,'2nd Youth'!$F:$F,0),3)&gt;0,INDEX('2nd Youth'!$A:$F,MATCH('2nd Youth Results'!$E103,'2nd Youth'!$F:$F,0),3),""),"")</f>
        <v>A Dash of Jerzy Cash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Megan Rosendahl</v>
      </c>
      <c r="C104" s="95" t="str">
        <f>IFERROR(IF(INDEX('2nd Youth'!$A:$F,MATCH('2nd Youth Results'!$E104,'2nd Youth'!$F:$F,0),3)&gt;0,INDEX('2nd Youth'!$A:$F,MATCH('2nd Youth Results'!$E104,'2nd Youth'!$F:$F,0),3),""),"")</f>
        <v>A Dash of Jerzy Cash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Megan Rosendahl</v>
      </c>
      <c r="C105" s="95" t="str">
        <f>IFERROR(IF(INDEX('2nd Youth'!$A:$F,MATCH('2nd Youth Results'!$E105,'2nd Youth'!$F:$F,0),3)&gt;0,INDEX('2nd Youth'!$A:$F,MATCH('2nd Youth Results'!$E105,'2nd Youth'!$F:$F,0),3),""),"")</f>
        <v>A Dash of Jerzy Cash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Megan Rosendahl</v>
      </c>
      <c r="C106" s="95" t="str">
        <f>IFERROR(IF(INDEX('2nd Youth'!$A:$F,MATCH('2nd Youth Results'!$E106,'2nd Youth'!$F:$F,0),3)&gt;0,INDEX('2nd Youth'!$A:$F,MATCH('2nd Youth Results'!$E106,'2nd Youth'!$F:$F,0),3),""),"")</f>
        <v>A Dash of Jerzy Cash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Megan Rosendahl</v>
      </c>
      <c r="C107" s="95" t="str">
        <f>IFERROR(IF(INDEX('2nd Youth'!$A:$F,MATCH('2nd Youth Results'!$E107,'2nd Youth'!$F:$F,0),3)&gt;0,INDEX('2nd Youth'!$A:$F,MATCH('2nd Youth Results'!$E107,'2nd Youth'!$F:$F,0),3),""),"")</f>
        <v>A Dash of Jerzy Cash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Megan Rosendahl</v>
      </c>
      <c r="C108" s="95" t="str">
        <f>IFERROR(IF(INDEX('2nd Youth'!$A:$F,MATCH('2nd Youth Results'!$E108,'2nd Youth'!$F:$F,0),3)&gt;0,INDEX('2nd Youth'!$A:$F,MATCH('2nd Youth Results'!$E108,'2nd Youth'!$F:$F,0),3),""),"")</f>
        <v>A Dash of Jerzy Cash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Megan Rosendahl</v>
      </c>
      <c r="C109" s="95" t="str">
        <f>IFERROR(IF(INDEX('2nd Youth'!$A:$F,MATCH('2nd Youth Results'!$E109,'2nd Youth'!$F:$F,0),3)&gt;0,INDEX('2nd Youth'!$A:$F,MATCH('2nd Youth Results'!$E109,'2nd Youth'!$F:$F,0),3),""),"")</f>
        <v>A Dash of Jerzy Cash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Megan Rosendahl</v>
      </c>
      <c r="C110" s="95" t="str">
        <f>IFERROR(IF(INDEX('2nd Youth'!$A:$F,MATCH('2nd Youth Results'!$E110,'2nd Youth'!$F:$F,0),3)&gt;0,INDEX('2nd Youth'!$A:$F,MATCH('2nd Youth Results'!$E110,'2nd Youth'!$F:$F,0),3),""),"")</f>
        <v>A Dash of Jerzy Cash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Megan Rosendahl</v>
      </c>
      <c r="C111" s="95" t="str">
        <f>IFERROR(IF(INDEX('2nd Youth'!$A:$F,MATCH('2nd Youth Results'!$E111,'2nd Youth'!$F:$F,0),3)&gt;0,INDEX('2nd Youth'!$A:$F,MATCH('2nd Youth Results'!$E111,'2nd Youth'!$F:$F,0),3),""),"")</f>
        <v>A Dash of Jerzy Cash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Megan Rosendahl</v>
      </c>
      <c r="C112" s="95" t="str">
        <f>IFERROR(IF(INDEX('2nd Youth'!$A:$F,MATCH('2nd Youth Results'!$E112,'2nd Youth'!$F:$F,0),3)&gt;0,INDEX('2nd Youth'!$A:$F,MATCH('2nd Youth Results'!$E112,'2nd Youth'!$F:$F,0),3),""),"")</f>
        <v>A Dash of Jerzy Cash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Megan Rosendahl</v>
      </c>
      <c r="C113" s="95" t="str">
        <f>IFERROR(IF(INDEX('2nd Youth'!$A:$F,MATCH('2nd Youth Results'!$E113,'2nd Youth'!$F:$F,0),3)&gt;0,INDEX('2nd Youth'!$A:$F,MATCH('2nd Youth Results'!$E113,'2nd Youth'!$F:$F,0),3),""),"")</f>
        <v>A Dash of Jerzy Cash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Megan Rosendahl</v>
      </c>
      <c r="C114" s="95" t="str">
        <f>IFERROR(IF(INDEX('2nd Youth'!$A:$F,MATCH('2nd Youth Results'!$E114,'2nd Youth'!$F:$F,0),3)&gt;0,INDEX('2nd Youth'!$A:$F,MATCH('2nd Youth Results'!$E114,'2nd Youth'!$F:$F,0),3),""),"")</f>
        <v>A Dash of Jerzy Cash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Megan Rosendahl</v>
      </c>
      <c r="C115" s="95" t="str">
        <f>IFERROR(IF(INDEX('2nd Youth'!$A:$F,MATCH('2nd Youth Results'!$E115,'2nd Youth'!$F:$F,0),3)&gt;0,INDEX('2nd Youth'!$A:$F,MATCH('2nd Youth Results'!$E115,'2nd Youth'!$F:$F,0),3),""),"")</f>
        <v>A Dash of Jerzy Cash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Megan Rosendahl</v>
      </c>
      <c r="C116" s="95" t="str">
        <f>IFERROR(IF(INDEX('2nd Youth'!$A:$F,MATCH('2nd Youth Results'!$E116,'2nd Youth'!$F:$F,0),3)&gt;0,INDEX('2nd Youth'!$A:$F,MATCH('2nd Youth Results'!$E116,'2nd Youth'!$F:$F,0),3),""),"")</f>
        <v>A Dash of Jerzy Cash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Megan Rosendahl</v>
      </c>
      <c r="C117" s="95" t="str">
        <f>IFERROR(IF(INDEX('2nd Youth'!$A:$F,MATCH('2nd Youth Results'!$E117,'2nd Youth'!$F:$F,0),3)&gt;0,INDEX('2nd Youth'!$A:$F,MATCH('2nd Youth Results'!$E117,'2nd Youth'!$F:$F,0),3),""),"")</f>
        <v>A Dash of Jerzy Cash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Megan Rosendahl</v>
      </c>
      <c r="C118" s="95" t="str">
        <f>IFERROR(IF(INDEX('2nd Youth'!$A:$F,MATCH('2nd Youth Results'!$E118,'2nd Youth'!$F:$F,0),3)&gt;0,INDEX('2nd Youth'!$A:$F,MATCH('2nd Youth Results'!$E118,'2nd Youth'!$F:$F,0),3),""),"")</f>
        <v>A Dash of Jerzy Cash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Megan Rosendahl</v>
      </c>
      <c r="C119" s="95" t="str">
        <f>IFERROR(IF(INDEX('2nd Youth'!$A:$F,MATCH('2nd Youth Results'!$E119,'2nd Youth'!$F:$F,0),3)&gt;0,INDEX('2nd Youth'!$A:$F,MATCH('2nd Youth Results'!$E119,'2nd Youth'!$F:$F,0),3),""),"")</f>
        <v>A Dash of Jerzy Cash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Megan Rosendahl</v>
      </c>
      <c r="C120" s="95" t="str">
        <f>IFERROR(IF(INDEX('2nd Youth'!$A:$F,MATCH('2nd Youth Results'!$E120,'2nd Youth'!$F:$F,0),3)&gt;0,INDEX('2nd Youth'!$A:$F,MATCH('2nd Youth Results'!$E120,'2nd Youth'!$F:$F,0),3),""),"")</f>
        <v>A Dash of Jerzy Cash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Megan Rosendahl</v>
      </c>
      <c r="C121" s="95" t="str">
        <f>IFERROR(IF(INDEX('2nd Youth'!$A:$F,MATCH('2nd Youth Results'!$E121,'2nd Youth'!$F:$F,0),3)&gt;0,INDEX('2nd Youth'!$A:$F,MATCH('2nd Youth Results'!$E121,'2nd Youth'!$F:$F,0),3),""),"")</f>
        <v>A Dash of Jerzy Cash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Megan Rosendahl</v>
      </c>
      <c r="C122" s="95" t="str">
        <f>IFERROR(IF(INDEX('2nd Youth'!$A:$F,MATCH('2nd Youth Results'!$E122,'2nd Youth'!$F:$F,0),3)&gt;0,INDEX('2nd Youth'!$A:$F,MATCH('2nd Youth Results'!$E122,'2nd Youth'!$F:$F,0),3),""),"")</f>
        <v>A Dash of Jerzy Cash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Megan Rosendahl</v>
      </c>
      <c r="C123" s="95" t="str">
        <f>IFERROR(IF(INDEX('2nd Youth'!$A:$F,MATCH('2nd Youth Results'!$E123,'2nd Youth'!$F:$F,0),3)&gt;0,INDEX('2nd Youth'!$A:$F,MATCH('2nd Youth Results'!$E123,'2nd Youth'!$F:$F,0),3),""),"")</f>
        <v>A Dash of Jerzy Cash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Megan Rosendahl</v>
      </c>
      <c r="C124" s="95" t="str">
        <f>IFERROR(IF(INDEX('2nd Youth'!$A:$F,MATCH('2nd Youth Results'!$E124,'2nd Youth'!$F:$F,0),3)&gt;0,INDEX('2nd Youth'!$A:$F,MATCH('2nd Youth Results'!$E124,'2nd Youth'!$F:$F,0),3),""),"")</f>
        <v>A Dash of Jerzy Cash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Megan Rosendahl</v>
      </c>
      <c r="C125" s="95" t="str">
        <f>IFERROR(IF(INDEX('2nd Youth'!$A:$F,MATCH('2nd Youth Results'!$E125,'2nd Youth'!$F:$F,0),3)&gt;0,INDEX('2nd Youth'!$A:$F,MATCH('2nd Youth Results'!$E125,'2nd Youth'!$F:$F,0),3),""),"")</f>
        <v>A Dash of Jerzy Cash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Megan Rosendahl</v>
      </c>
      <c r="C126" s="95" t="str">
        <f>IFERROR(IF(INDEX('2nd Youth'!$A:$F,MATCH('2nd Youth Results'!$E126,'2nd Youth'!$F:$F,0),3)&gt;0,INDEX('2nd Youth'!$A:$F,MATCH('2nd Youth Results'!$E126,'2nd Youth'!$F:$F,0),3),""),"")</f>
        <v>A Dash of Jerzy Cash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Megan Rosendahl</v>
      </c>
      <c r="C127" s="95" t="str">
        <f>IFERROR(IF(INDEX('2nd Youth'!$A:$F,MATCH('2nd Youth Results'!$E127,'2nd Youth'!$F:$F,0),3)&gt;0,INDEX('2nd Youth'!$A:$F,MATCH('2nd Youth Results'!$E127,'2nd Youth'!$F:$F,0),3),""),"")</f>
        <v>A Dash of Jerzy Cash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Megan Rosendahl</v>
      </c>
      <c r="C128" s="95" t="str">
        <f>IFERROR(IF(INDEX('2nd Youth'!$A:$F,MATCH('2nd Youth Results'!$E128,'2nd Youth'!$F:$F,0),3)&gt;0,INDEX('2nd Youth'!$A:$F,MATCH('2nd Youth Results'!$E128,'2nd Youth'!$F:$F,0),3),""),"")</f>
        <v>A Dash of Jerzy Cash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Megan Rosendahl</v>
      </c>
      <c r="C129" s="95" t="str">
        <f>IFERROR(IF(INDEX('2nd Youth'!$A:$F,MATCH('2nd Youth Results'!$E129,'2nd Youth'!$F:$F,0),3)&gt;0,INDEX('2nd Youth'!$A:$F,MATCH('2nd Youth Results'!$E129,'2nd Youth'!$F:$F,0),3),""),"")</f>
        <v>A Dash of Jerzy Cash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Megan Rosendahl</v>
      </c>
      <c r="C130" s="95" t="str">
        <f>IFERROR(IF(INDEX('2nd Youth'!$A:$F,MATCH('2nd Youth Results'!$E130,'2nd Youth'!$F:$F,0),3)&gt;0,INDEX('2nd Youth'!$A:$F,MATCH('2nd Youth Results'!$E130,'2nd Youth'!$F:$F,0),3),""),"")</f>
        <v>A Dash of Jerzy Cash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Megan Rosendahl</v>
      </c>
      <c r="C131" s="95" t="str">
        <f>IFERROR(IF(INDEX('2nd Youth'!$A:$F,MATCH('2nd Youth Results'!$E131,'2nd Youth'!$F:$F,0),3)&gt;0,INDEX('2nd Youth'!$A:$F,MATCH('2nd Youth Results'!$E131,'2nd Youth'!$F:$F,0),3),""),"")</f>
        <v>A Dash of Jerzy Cash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Megan Rosendahl</v>
      </c>
      <c r="C132" s="95" t="str">
        <f>IFERROR(IF(INDEX('2nd Youth'!$A:$F,MATCH('2nd Youth Results'!$E132,'2nd Youth'!$F:$F,0),3)&gt;0,INDEX('2nd Youth'!$A:$F,MATCH('2nd Youth Results'!$E132,'2nd Youth'!$F:$F,0),3),""),"")</f>
        <v>A Dash of Jerzy Cash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Megan Rosendahl</v>
      </c>
      <c r="C133" s="95" t="str">
        <f>IFERROR(IF(INDEX('2nd Youth'!$A:$F,MATCH('2nd Youth Results'!$E133,'2nd Youth'!$F:$F,0),3)&gt;0,INDEX('2nd Youth'!$A:$F,MATCH('2nd Youth Results'!$E133,'2nd Youth'!$F:$F,0),3),""),"")</f>
        <v>A Dash of Jerzy Cash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Megan Rosendahl</v>
      </c>
      <c r="C134" s="95" t="str">
        <f>IFERROR(IF(INDEX('2nd Youth'!$A:$F,MATCH('2nd Youth Results'!$E134,'2nd Youth'!$F:$F,0),3)&gt;0,INDEX('2nd Youth'!$A:$F,MATCH('2nd Youth Results'!$E134,'2nd Youth'!$F:$F,0),3),""),"")</f>
        <v>A Dash of Jerzy Cash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Megan Rosendahl</v>
      </c>
      <c r="C135" s="95" t="str">
        <f>IFERROR(IF(INDEX('2nd Youth'!$A:$F,MATCH('2nd Youth Results'!$E135,'2nd Youth'!$F:$F,0),3)&gt;0,INDEX('2nd Youth'!$A:$F,MATCH('2nd Youth Results'!$E135,'2nd Youth'!$F:$F,0),3),""),"")</f>
        <v>A Dash of Jerzy Cash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Megan Rosendahl</v>
      </c>
      <c r="C136" s="95" t="str">
        <f>IFERROR(IF(INDEX('2nd Youth'!$A:$F,MATCH('2nd Youth Results'!$E136,'2nd Youth'!$F:$F,0),3)&gt;0,INDEX('2nd Youth'!$A:$F,MATCH('2nd Youth Results'!$E136,'2nd Youth'!$F:$F,0),3),""),"")</f>
        <v>A Dash of Jerzy Cash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Megan Rosendahl</v>
      </c>
      <c r="C137" s="95" t="str">
        <f>IFERROR(IF(INDEX('2nd Youth'!$A:$F,MATCH('2nd Youth Results'!$E137,'2nd Youth'!$F:$F,0),3)&gt;0,INDEX('2nd Youth'!$A:$F,MATCH('2nd Youth Results'!$E137,'2nd Youth'!$F:$F,0),3),""),"")</f>
        <v>A Dash of Jerzy Cash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Megan Rosendahl</v>
      </c>
      <c r="C138" s="95" t="str">
        <f>IFERROR(IF(INDEX('2nd Youth'!$A:$F,MATCH('2nd Youth Results'!$E138,'2nd Youth'!$F:$F,0),3)&gt;0,INDEX('2nd Youth'!$A:$F,MATCH('2nd Youth Results'!$E138,'2nd Youth'!$F:$F,0),3),""),"")</f>
        <v>A Dash of Jerzy Cash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Megan Rosendahl</v>
      </c>
      <c r="C139" s="95" t="str">
        <f>IFERROR(IF(INDEX('2nd Youth'!$A:$F,MATCH('2nd Youth Results'!$E139,'2nd Youth'!$F:$F,0),3)&gt;0,INDEX('2nd Youth'!$A:$F,MATCH('2nd Youth Results'!$E139,'2nd Youth'!$F:$F,0),3),""),"")</f>
        <v>A Dash of Jerzy Cash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Megan Rosendahl</v>
      </c>
      <c r="C140" s="95" t="str">
        <f>IFERROR(IF(INDEX('2nd Youth'!$A:$F,MATCH('2nd Youth Results'!$E140,'2nd Youth'!$F:$F,0),3)&gt;0,INDEX('2nd Youth'!$A:$F,MATCH('2nd Youth Results'!$E140,'2nd Youth'!$F:$F,0),3),""),"")</f>
        <v>A Dash of Jerzy Cash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Megan Rosendahl</v>
      </c>
      <c r="C141" s="95" t="str">
        <f>IFERROR(IF(INDEX('2nd Youth'!$A:$F,MATCH('2nd Youth Results'!$E141,'2nd Youth'!$F:$F,0),3)&gt;0,INDEX('2nd Youth'!$A:$F,MATCH('2nd Youth Results'!$E141,'2nd Youth'!$F:$F,0),3),""),"")</f>
        <v>A Dash of Jerzy Cash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Megan Rosendahl</v>
      </c>
      <c r="C142" s="95" t="str">
        <f>IFERROR(IF(INDEX('2nd Youth'!$A:$F,MATCH('2nd Youth Results'!$E142,'2nd Youth'!$F:$F,0),3)&gt;0,INDEX('2nd Youth'!$A:$F,MATCH('2nd Youth Results'!$E142,'2nd Youth'!$F:$F,0),3),""),"")</f>
        <v>A Dash of Jerzy Cash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Megan Rosendahl</v>
      </c>
      <c r="C143" s="95" t="str">
        <f>IFERROR(IF(INDEX('2nd Youth'!$A:$F,MATCH('2nd Youth Results'!$E143,'2nd Youth'!$F:$F,0),3)&gt;0,INDEX('2nd Youth'!$A:$F,MATCH('2nd Youth Results'!$E143,'2nd Youth'!$F:$F,0),3),""),"")</f>
        <v>A Dash of Jerzy Cash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Megan Rosendahl</v>
      </c>
      <c r="C144" s="95" t="str">
        <f>IFERROR(IF(INDEX('2nd Youth'!$A:$F,MATCH('2nd Youth Results'!$E144,'2nd Youth'!$F:$F,0),3)&gt;0,INDEX('2nd Youth'!$A:$F,MATCH('2nd Youth Results'!$E144,'2nd Youth'!$F:$F,0),3),""),"")</f>
        <v>A Dash of Jerzy Cash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Megan Rosendahl</v>
      </c>
      <c r="C145" s="95" t="str">
        <f>IFERROR(IF(INDEX('2nd Youth'!$A:$F,MATCH('2nd Youth Results'!$E145,'2nd Youth'!$F:$F,0),3)&gt;0,INDEX('2nd Youth'!$A:$F,MATCH('2nd Youth Results'!$E145,'2nd Youth'!$F:$F,0),3),""),"")</f>
        <v>A Dash of Jerzy Cash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Megan Rosendahl</v>
      </c>
      <c r="C146" s="95" t="str">
        <f>IFERROR(IF(INDEX('2nd Youth'!$A:$F,MATCH('2nd Youth Results'!$E146,'2nd Youth'!$F:$F,0),3)&gt;0,INDEX('2nd Youth'!$A:$F,MATCH('2nd Youth Results'!$E146,'2nd Youth'!$F:$F,0),3),""),"")</f>
        <v>A Dash of Jerzy Cash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Megan Rosendahl</v>
      </c>
      <c r="C147" s="95" t="str">
        <f>IFERROR(IF(INDEX('2nd Youth'!$A:$F,MATCH('2nd Youth Results'!$E147,'2nd Youth'!$F:$F,0),3)&gt;0,INDEX('2nd Youth'!$A:$F,MATCH('2nd Youth Results'!$E147,'2nd Youth'!$F:$F,0),3),""),"")</f>
        <v>A Dash of Jerzy Cash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Megan Rosendahl</v>
      </c>
      <c r="C148" s="95" t="str">
        <f>IFERROR(IF(INDEX('2nd Youth'!$A:$F,MATCH('2nd Youth Results'!$E148,'2nd Youth'!$F:$F,0),3)&gt;0,INDEX('2nd Youth'!$A:$F,MATCH('2nd Youth Results'!$E148,'2nd Youth'!$F:$F,0),3),""),"")</f>
        <v>A Dash of Jerzy Cash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Megan Rosendahl</v>
      </c>
      <c r="C149" s="95" t="str">
        <f>IFERROR(IF(INDEX('2nd Youth'!$A:$F,MATCH('2nd Youth Results'!$E149,'2nd Youth'!$F:$F,0),3)&gt;0,INDEX('2nd Youth'!$A:$F,MATCH('2nd Youth Results'!$E149,'2nd Youth'!$F:$F,0),3),""),"")</f>
        <v>A Dash of Jerzy Cash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Megan Rosendahl</v>
      </c>
      <c r="C150" s="95" t="str">
        <f>IFERROR(IF(INDEX('2nd Youth'!$A:$F,MATCH('2nd Youth Results'!$E150,'2nd Youth'!$F:$F,0),3)&gt;0,INDEX('2nd Youth'!$A:$F,MATCH('2nd Youth Results'!$E150,'2nd Youth'!$F:$F,0),3),""),"")</f>
        <v>A Dash of Jerzy Cash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Megan Rosendahl</v>
      </c>
      <c r="C151" s="95" t="str">
        <f>IFERROR(IF(INDEX('2nd Youth'!$A:$F,MATCH('2nd Youth Results'!$E151,'2nd Youth'!$F:$F,0),3)&gt;0,INDEX('2nd Youth'!$A:$F,MATCH('2nd Youth Results'!$E151,'2nd Youth'!$F:$F,0),3),""),"")</f>
        <v>A Dash of Jerzy Cash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Megan Rosendahl</v>
      </c>
      <c r="C152" s="95" t="str">
        <f>IFERROR(IF(INDEX('2nd Youth'!$A:$F,MATCH('2nd Youth Results'!$E152,'2nd Youth'!$F:$F,0),3)&gt;0,INDEX('2nd Youth'!$A:$F,MATCH('2nd Youth Results'!$E152,'2nd Youth'!$F:$F,0),3),""),"")</f>
        <v>A Dash of Jerzy Cash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Megan Rosendahl</v>
      </c>
      <c r="C153" s="95" t="str">
        <f>IFERROR(IF(INDEX('2nd Youth'!$A:$F,MATCH('2nd Youth Results'!$E153,'2nd Youth'!$F:$F,0),3)&gt;0,INDEX('2nd Youth'!$A:$F,MATCH('2nd Youth Results'!$E153,'2nd Youth'!$F:$F,0),3),""),"")</f>
        <v>A Dash of Jerzy Cash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Megan Rosendahl</v>
      </c>
      <c r="C154" s="95" t="str">
        <f>IFERROR(IF(INDEX('2nd Youth'!$A:$F,MATCH('2nd Youth Results'!$E154,'2nd Youth'!$F:$F,0),3)&gt;0,INDEX('2nd Youth'!$A:$F,MATCH('2nd Youth Results'!$E154,'2nd Youth'!$F:$F,0),3),""),"")</f>
        <v>A Dash of Jerzy Cash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Megan Rosendahl</v>
      </c>
      <c r="C155" s="95" t="str">
        <f>IFERROR(IF(INDEX('2nd Youth'!$A:$F,MATCH('2nd Youth Results'!$E155,'2nd Youth'!$F:$F,0),3)&gt;0,INDEX('2nd Youth'!$A:$F,MATCH('2nd Youth Results'!$E155,'2nd Youth'!$F:$F,0),3),""),"")</f>
        <v>A Dash of Jerzy Cash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Megan Rosendahl</v>
      </c>
      <c r="C156" s="95" t="str">
        <f>IFERROR(IF(INDEX('2nd Youth'!$A:$F,MATCH('2nd Youth Results'!$E156,'2nd Youth'!$F:$F,0),3)&gt;0,INDEX('2nd Youth'!$A:$F,MATCH('2nd Youth Results'!$E156,'2nd Youth'!$F:$F,0),3),""),"")</f>
        <v>A Dash of Jerzy Cash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Megan Rosendahl</v>
      </c>
      <c r="C157" s="95" t="str">
        <f>IFERROR(IF(INDEX('2nd Youth'!$A:$F,MATCH('2nd Youth Results'!$E157,'2nd Youth'!$F:$F,0),3)&gt;0,INDEX('2nd Youth'!$A:$F,MATCH('2nd Youth Results'!$E157,'2nd Youth'!$F:$F,0),3),""),"")</f>
        <v>A Dash of Jerzy Cash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Megan Rosendahl</v>
      </c>
      <c r="C158" s="95" t="str">
        <f>IFERROR(IF(INDEX('2nd Youth'!$A:$F,MATCH('2nd Youth Results'!$E158,'2nd Youth'!$F:$F,0),3)&gt;0,INDEX('2nd Youth'!$A:$F,MATCH('2nd Youth Results'!$E158,'2nd Youth'!$F:$F,0),3),""),"")</f>
        <v>A Dash of Jerzy Cash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Megan Rosendahl</v>
      </c>
      <c r="C159" s="95" t="str">
        <f>IFERROR(IF(INDEX('2nd Youth'!$A:$F,MATCH('2nd Youth Results'!$E159,'2nd Youth'!$F:$F,0),3)&gt;0,INDEX('2nd Youth'!$A:$F,MATCH('2nd Youth Results'!$E159,'2nd Youth'!$F:$F,0),3),""),"")</f>
        <v>A Dash of Jerzy Cash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Megan Rosendahl</v>
      </c>
      <c r="C160" s="95" t="str">
        <f>IFERROR(IF(INDEX('2nd Youth'!$A:$F,MATCH('2nd Youth Results'!$E160,'2nd Youth'!$F:$F,0),3)&gt;0,INDEX('2nd Youth'!$A:$F,MATCH('2nd Youth Results'!$E160,'2nd Youth'!$F:$F,0),3),""),"")</f>
        <v>A Dash of Jerzy Cash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Megan Rosendahl</v>
      </c>
      <c r="C161" s="95" t="str">
        <f>IFERROR(IF(INDEX('2nd Youth'!$A:$F,MATCH('2nd Youth Results'!$E161,'2nd Youth'!$F:$F,0),3)&gt;0,INDEX('2nd Youth'!$A:$F,MATCH('2nd Youth Results'!$E161,'2nd Youth'!$F:$F,0),3),""),"")</f>
        <v>A Dash of Jerzy Cash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Megan Rosendahl</v>
      </c>
      <c r="C162" s="95" t="str">
        <f>IFERROR(IF(INDEX('2nd Youth'!$A:$F,MATCH('2nd Youth Results'!$E162,'2nd Youth'!$F:$F,0),3)&gt;0,INDEX('2nd Youth'!$A:$F,MATCH('2nd Youth Results'!$E162,'2nd Youth'!$F:$F,0),3),""),"")</f>
        <v>A Dash of Jerzy Cash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Megan Rosendahl</v>
      </c>
      <c r="C163" s="95" t="str">
        <f>IFERROR(IF(INDEX('2nd Youth'!$A:$F,MATCH('2nd Youth Results'!$E163,'2nd Youth'!$F:$F,0),3)&gt;0,INDEX('2nd Youth'!$A:$F,MATCH('2nd Youth Results'!$E163,'2nd Youth'!$F:$F,0),3),""),"")</f>
        <v>A Dash of Jerzy Cash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Megan Rosendahl</v>
      </c>
      <c r="C164" s="95" t="str">
        <f>IFERROR(IF(INDEX('2nd Youth'!$A:$F,MATCH('2nd Youth Results'!$E164,'2nd Youth'!$F:$F,0),3)&gt;0,INDEX('2nd Youth'!$A:$F,MATCH('2nd Youth Results'!$E164,'2nd Youth'!$F:$F,0),3),""),"")</f>
        <v>A Dash of Jerzy Cash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Megan Rosendahl</v>
      </c>
      <c r="C165" s="95" t="str">
        <f>IFERROR(IF(INDEX('2nd Youth'!$A:$F,MATCH('2nd Youth Results'!$E165,'2nd Youth'!$F:$F,0),3)&gt;0,INDEX('2nd Youth'!$A:$F,MATCH('2nd Youth Results'!$E165,'2nd Youth'!$F:$F,0),3),""),"")</f>
        <v>A Dash of Jerzy Cash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Megan Rosendahl</v>
      </c>
      <c r="C166" s="95" t="str">
        <f>IFERROR(IF(INDEX('2nd Youth'!$A:$F,MATCH('2nd Youth Results'!$E166,'2nd Youth'!$F:$F,0),3)&gt;0,INDEX('2nd Youth'!$A:$F,MATCH('2nd Youth Results'!$E166,'2nd Youth'!$F:$F,0),3),""),"")</f>
        <v>A Dash of Jerzy Cash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Megan Rosendahl</v>
      </c>
      <c r="C167" s="95" t="str">
        <f>IFERROR(IF(INDEX('2nd Youth'!$A:$F,MATCH('2nd Youth Results'!$E167,'2nd Youth'!$F:$F,0),3)&gt;0,INDEX('2nd Youth'!$A:$F,MATCH('2nd Youth Results'!$E167,'2nd Youth'!$F:$F,0),3),""),"")</f>
        <v>A Dash of Jerzy Cash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Megan Rosendahl</v>
      </c>
      <c r="C168" s="95" t="str">
        <f>IFERROR(IF(INDEX('2nd Youth'!$A:$F,MATCH('2nd Youth Results'!$E168,'2nd Youth'!$F:$F,0),3)&gt;0,INDEX('2nd Youth'!$A:$F,MATCH('2nd Youth Results'!$E168,'2nd Youth'!$F:$F,0),3),""),"")</f>
        <v>A Dash of Jerzy Cash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Megan Rosendahl</v>
      </c>
      <c r="C169" s="95" t="str">
        <f>IFERROR(IF(INDEX('2nd Youth'!$A:$F,MATCH('2nd Youth Results'!$E169,'2nd Youth'!$F:$F,0),3)&gt;0,INDEX('2nd Youth'!$A:$F,MATCH('2nd Youth Results'!$E169,'2nd Youth'!$F:$F,0),3),""),"")</f>
        <v>A Dash of Jerzy Cash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Megan Rosendahl</v>
      </c>
      <c r="C170" s="95" t="str">
        <f>IFERROR(IF(INDEX('2nd Youth'!$A:$F,MATCH('2nd Youth Results'!$E170,'2nd Youth'!$F:$F,0),3)&gt;0,INDEX('2nd Youth'!$A:$F,MATCH('2nd Youth Results'!$E170,'2nd Youth'!$F:$F,0),3),""),"")</f>
        <v>A Dash of Jerzy Cash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Megan Rosendahl</v>
      </c>
      <c r="C171" s="95" t="str">
        <f>IFERROR(IF(INDEX('2nd Youth'!$A:$F,MATCH('2nd Youth Results'!$E171,'2nd Youth'!$F:$F,0),3)&gt;0,INDEX('2nd Youth'!$A:$F,MATCH('2nd Youth Results'!$E171,'2nd Youth'!$F:$F,0),3),""),"")</f>
        <v>A Dash of Jerzy Cash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Megan Rosendahl</v>
      </c>
      <c r="C172" s="95" t="str">
        <f>IFERROR(IF(INDEX('2nd Youth'!$A:$F,MATCH('2nd Youth Results'!$E172,'2nd Youth'!$F:$F,0),3)&gt;0,INDEX('2nd Youth'!$A:$F,MATCH('2nd Youth Results'!$E172,'2nd Youth'!$F:$F,0),3),""),"")</f>
        <v>A Dash of Jerzy Cash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Megan Rosendahl</v>
      </c>
      <c r="C173" s="95" t="str">
        <f>IFERROR(IF(INDEX('2nd Youth'!$A:$F,MATCH('2nd Youth Results'!$E173,'2nd Youth'!$F:$F,0),3)&gt;0,INDEX('2nd Youth'!$A:$F,MATCH('2nd Youth Results'!$E173,'2nd Youth'!$F:$F,0),3),""),"")</f>
        <v>A Dash of Jerzy Cash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Megan Rosendahl</v>
      </c>
      <c r="C174" s="95" t="str">
        <f>IFERROR(IF(INDEX('2nd Youth'!$A:$F,MATCH('2nd Youth Results'!$E174,'2nd Youth'!$F:$F,0),3)&gt;0,INDEX('2nd Youth'!$A:$F,MATCH('2nd Youth Results'!$E174,'2nd Youth'!$F:$F,0),3),""),"")</f>
        <v>A Dash of Jerzy Cash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Megan Rosendahl</v>
      </c>
      <c r="C175" s="95" t="str">
        <f>IFERROR(IF(INDEX('2nd Youth'!$A:$F,MATCH('2nd Youth Results'!$E175,'2nd Youth'!$F:$F,0),3)&gt;0,INDEX('2nd Youth'!$A:$F,MATCH('2nd Youth Results'!$E175,'2nd Youth'!$F:$F,0),3),""),"")</f>
        <v>A Dash of Jerzy Cash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Megan Rosendahl</v>
      </c>
      <c r="C176" s="95" t="str">
        <f>IFERROR(IF(INDEX('2nd Youth'!$A:$F,MATCH('2nd Youth Results'!$E176,'2nd Youth'!$F:$F,0),3)&gt;0,INDEX('2nd Youth'!$A:$F,MATCH('2nd Youth Results'!$E176,'2nd Youth'!$F:$F,0),3),""),"")</f>
        <v>A Dash of Jerzy Cash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Megan Rosendahl</v>
      </c>
      <c r="C177" s="95" t="str">
        <f>IFERROR(IF(INDEX('2nd Youth'!$A:$F,MATCH('2nd Youth Results'!$E177,'2nd Youth'!$F:$F,0),3)&gt;0,INDEX('2nd Youth'!$A:$F,MATCH('2nd Youth Results'!$E177,'2nd Youth'!$F:$F,0),3),""),"")</f>
        <v>A Dash of Jerzy Cash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Megan Rosendahl</v>
      </c>
      <c r="C178" s="95" t="str">
        <f>IFERROR(IF(INDEX('2nd Youth'!$A:$F,MATCH('2nd Youth Results'!$E178,'2nd Youth'!$F:$F,0),3)&gt;0,INDEX('2nd Youth'!$A:$F,MATCH('2nd Youth Results'!$E178,'2nd Youth'!$F:$F,0),3),""),"")</f>
        <v>A Dash of Jerzy Cash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Megan Rosendahl</v>
      </c>
      <c r="C179" s="95" t="str">
        <f>IFERROR(IF(INDEX('2nd Youth'!$A:$F,MATCH('2nd Youth Results'!$E179,'2nd Youth'!$F:$F,0),3)&gt;0,INDEX('2nd Youth'!$A:$F,MATCH('2nd Youth Results'!$E179,'2nd Youth'!$F:$F,0),3),""),"")</f>
        <v>A Dash of Jerzy Cash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Megan Rosendahl</v>
      </c>
      <c r="C180" s="95" t="str">
        <f>IFERROR(IF(INDEX('2nd Youth'!$A:$F,MATCH('2nd Youth Results'!$E180,'2nd Youth'!$F:$F,0),3)&gt;0,INDEX('2nd Youth'!$A:$F,MATCH('2nd Youth Results'!$E180,'2nd Youth'!$F:$F,0),3),""),"")</f>
        <v>A Dash of Jerzy Cash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Megan Rosendahl</v>
      </c>
      <c r="C181" s="95" t="str">
        <f>IFERROR(IF(INDEX('2nd Youth'!$A:$F,MATCH('2nd Youth Results'!$E181,'2nd Youth'!$F:$F,0),3)&gt;0,INDEX('2nd Youth'!$A:$F,MATCH('2nd Youth Results'!$E181,'2nd Youth'!$F:$F,0),3),""),"")</f>
        <v>A Dash of Jerzy Cash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Megan Rosendahl</v>
      </c>
      <c r="C182" s="95" t="str">
        <f>IFERROR(IF(INDEX('2nd Youth'!$A:$F,MATCH('2nd Youth Results'!$E182,'2nd Youth'!$F:$F,0),3)&gt;0,INDEX('2nd Youth'!$A:$F,MATCH('2nd Youth Results'!$E182,'2nd Youth'!$F:$F,0),3),""),"")</f>
        <v>A Dash of Jerzy Cash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Megan Rosendahl</v>
      </c>
      <c r="C183" s="95" t="str">
        <f>IFERROR(IF(INDEX('2nd Youth'!$A:$F,MATCH('2nd Youth Results'!$E183,'2nd Youth'!$F:$F,0),3)&gt;0,INDEX('2nd Youth'!$A:$F,MATCH('2nd Youth Results'!$E183,'2nd Youth'!$F:$F,0),3),""),"")</f>
        <v>A Dash of Jerzy Cash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Megan Rosendahl</v>
      </c>
      <c r="C184" s="95" t="str">
        <f>IFERROR(IF(INDEX('2nd Youth'!$A:$F,MATCH('2nd Youth Results'!$E184,'2nd Youth'!$F:$F,0),3)&gt;0,INDEX('2nd Youth'!$A:$F,MATCH('2nd Youth Results'!$E184,'2nd Youth'!$F:$F,0),3),""),"")</f>
        <v>A Dash of Jerzy Cash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Megan Rosendahl</v>
      </c>
      <c r="C185" s="95" t="str">
        <f>IFERROR(IF(INDEX('2nd Youth'!$A:$F,MATCH('2nd Youth Results'!$E185,'2nd Youth'!$F:$F,0),3)&gt;0,INDEX('2nd Youth'!$A:$F,MATCH('2nd Youth Results'!$E185,'2nd Youth'!$F:$F,0),3),""),"")</f>
        <v>A Dash of Jerzy Cash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Megan Rosendahl</v>
      </c>
      <c r="C186" s="95" t="str">
        <f>IFERROR(IF(INDEX('2nd Youth'!$A:$F,MATCH('2nd Youth Results'!$E186,'2nd Youth'!$F:$F,0),3)&gt;0,INDEX('2nd Youth'!$A:$F,MATCH('2nd Youth Results'!$E186,'2nd Youth'!$F:$F,0),3),""),"")</f>
        <v>A Dash of Jerzy Cash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Megan Rosendahl</v>
      </c>
      <c r="C187" s="95" t="str">
        <f>IFERROR(IF(INDEX('2nd Youth'!$A:$F,MATCH('2nd Youth Results'!$E187,'2nd Youth'!$F:$F,0),3)&gt;0,INDEX('2nd Youth'!$A:$F,MATCH('2nd Youth Results'!$E187,'2nd Youth'!$F:$F,0),3),""),"")</f>
        <v>A Dash of Jerzy Cash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Megan Rosendahl</v>
      </c>
      <c r="C188" s="95" t="str">
        <f>IFERROR(IF(INDEX('2nd Youth'!$A:$F,MATCH('2nd Youth Results'!$E188,'2nd Youth'!$F:$F,0),3)&gt;0,INDEX('2nd Youth'!$A:$F,MATCH('2nd Youth Results'!$E188,'2nd Youth'!$F:$F,0),3),""),"")</f>
        <v>A Dash of Jerzy Cash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Megan Rosendahl</v>
      </c>
      <c r="C189" s="95" t="str">
        <f>IFERROR(IF(INDEX('2nd Youth'!$A:$F,MATCH('2nd Youth Results'!$E189,'2nd Youth'!$F:$F,0),3)&gt;0,INDEX('2nd Youth'!$A:$F,MATCH('2nd Youth Results'!$E189,'2nd Youth'!$F:$F,0),3),""),"")</f>
        <v>A Dash of Jerzy Cash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Megan Rosendahl</v>
      </c>
      <c r="C190" s="95" t="str">
        <f>IFERROR(IF(INDEX('2nd Youth'!$A:$F,MATCH('2nd Youth Results'!$E190,'2nd Youth'!$F:$F,0),3)&gt;0,INDEX('2nd Youth'!$A:$F,MATCH('2nd Youth Results'!$E190,'2nd Youth'!$F:$F,0),3),""),"")</f>
        <v>A Dash of Jerzy Cash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Megan Rosendahl</v>
      </c>
      <c r="C191" s="95" t="str">
        <f>IFERROR(IF(INDEX('2nd Youth'!$A:$F,MATCH('2nd Youth Results'!$E191,'2nd Youth'!$F:$F,0),3)&gt;0,INDEX('2nd Youth'!$A:$F,MATCH('2nd Youth Results'!$E191,'2nd Youth'!$F:$F,0),3),""),"")</f>
        <v>A Dash of Jerzy Cash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Megan Rosendahl</v>
      </c>
      <c r="C192" s="95" t="str">
        <f>IFERROR(IF(INDEX('2nd Youth'!$A:$F,MATCH('2nd Youth Results'!$E192,'2nd Youth'!$F:$F,0),3)&gt;0,INDEX('2nd Youth'!$A:$F,MATCH('2nd Youth Results'!$E192,'2nd Youth'!$F:$F,0),3),""),"")</f>
        <v>A Dash of Jerzy Cash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Megan Rosendahl</v>
      </c>
      <c r="C193" s="95" t="str">
        <f>IFERROR(IF(INDEX('2nd Youth'!$A:$F,MATCH('2nd Youth Results'!$E193,'2nd Youth'!$F:$F,0),3)&gt;0,INDEX('2nd Youth'!$A:$F,MATCH('2nd Youth Results'!$E193,'2nd Youth'!$F:$F,0),3),""),"")</f>
        <v>A Dash of Jerzy Cash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Megan Rosendahl</v>
      </c>
      <c r="C194" s="95" t="str">
        <f>IFERROR(IF(INDEX('2nd Youth'!$A:$F,MATCH('2nd Youth Results'!$E194,'2nd Youth'!$F:$F,0),3)&gt;0,INDEX('2nd Youth'!$A:$F,MATCH('2nd Youth Results'!$E194,'2nd Youth'!$F:$F,0),3),""),"")</f>
        <v>A Dash of Jerzy Cash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Megan Rosendahl</v>
      </c>
      <c r="C195" s="95" t="str">
        <f>IFERROR(IF(INDEX('2nd Youth'!$A:$F,MATCH('2nd Youth Results'!$E195,'2nd Youth'!$F:$F,0),3)&gt;0,INDEX('2nd Youth'!$A:$F,MATCH('2nd Youth Results'!$E195,'2nd Youth'!$F:$F,0),3),""),"")</f>
        <v>A Dash of Jerzy Cash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Megan Rosendahl</v>
      </c>
      <c r="C196" s="95" t="str">
        <f>IFERROR(IF(INDEX('2nd Youth'!$A:$F,MATCH('2nd Youth Results'!$E196,'2nd Youth'!$F:$F,0),3)&gt;0,INDEX('2nd Youth'!$A:$F,MATCH('2nd Youth Results'!$E196,'2nd Youth'!$F:$F,0),3),""),"")</f>
        <v>A Dash of Jerzy Cash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Megan Rosendahl</v>
      </c>
      <c r="C197" s="95" t="str">
        <f>IFERROR(IF(INDEX('2nd Youth'!$A:$F,MATCH('2nd Youth Results'!$E197,'2nd Youth'!$F:$F,0),3)&gt;0,INDEX('2nd Youth'!$A:$F,MATCH('2nd Youth Results'!$E197,'2nd Youth'!$F:$F,0),3),""),"")</f>
        <v>A Dash of Jerzy Cash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Megan Rosendahl</v>
      </c>
      <c r="C198" s="95" t="str">
        <f>IFERROR(IF(INDEX('2nd Youth'!$A:$F,MATCH('2nd Youth Results'!$E198,'2nd Youth'!$F:$F,0),3)&gt;0,INDEX('2nd Youth'!$A:$F,MATCH('2nd Youth Results'!$E198,'2nd Youth'!$F:$F,0),3),""),"")</f>
        <v>A Dash of Jerzy Cash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Megan Rosendahl</v>
      </c>
      <c r="C199" s="95" t="str">
        <f>IFERROR(IF(INDEX('2nd Youth'!$A:$F,MATCH('2nd Youth Results'!$E199,'2nd Youth'!$F:$F,0),3)&gt;0,INDEX('2nd Youth'!$A:$F,MATCH('2nd Youth Results'!$E199,'2nd Youth'!$F:$F,0),3),""),"")</f>
        <v>A Dash of Jerzy Cash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Megan Rosendahl</v>
      </c>
      <c r="C200" s="95" t="str">
        <f>IFERROR(IF(INDEX('2nd Youth'!$A:$F,MATCH('2nd Youth Results'!$E200,'2nd Youth'!$F:$F,0),3)&gt;0,INDEX('2nd Youth'!$A:$F,MATCH('2nd Youth Results'!$E200,'2nd Youth'!$F:$F,0),3),""),"")</f>
        <v>A Dash of Jerzy Cash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Megan Rosendahl</v>
      </c>
      <c r="C201" s="95" t="str">
        <f>IFERROR(IF(INDEX('2nd Youth'!$A:$F,MATCH('2nd Youth Results'!$E201,'2nd Youth'!$F:$F,0),3)&gt;0,INDEX('2nd Youth'!$A:$F,MATCH('2nd Youth Results'!$E201,'2nd Youth'!$F:$F,0),3),""),"")</f>
        <v>A Dash of Jerzy Cash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Megan Rosendahl</v>
      </c>
      <c r="C202" s="95" t="str">
        <f>IFERROR(IF(INDEX('2nd Youth'!$A:$F,MATCH('2nd Youth Results'!$E202,'2nd Youth'!$F:$F,0),3)&gt;0,INDEX('2nd Youth'!$A:$F,MATCH('2nd Youth Results'!$E202,'2nd Youth'!$F:$F,0),3),""),"")</f>
        <v>A Dash of Jerzy Cash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Megan Rosendahl</v>
      </c>
      <c r="C203" s="95" t="str">
        <f>IFERROR(IF(INDEX('2nd Youth'!$A:$F,MATCH('2nd Youth Results'!$E203,'2nd Youth'!$F:$F,0),3)&gt;0,INDEX('2nd Youth'!$A:$F,MATCH('2nd Youth Results'!$E203,'2nd Youth'!$F:$F,0),3),""),"")</f>
        <v>A Dash of Jerzy Cash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Megan Rosendahl</v>
      </c>
      <c r="C204" s="95" t="str">
        <f>IFERROR(IF(INDEX('2nd Youth'!$A:$F,MATCH('2nd Youth Results'!$E204,'2nd Youth'!$F:$F,0),3)&gt;0,INDEX('2nd Youth'!$A:$F,MATCH('2nd Youth Results'!$E204,'2nd Youth'!$F:$F,0),3),""),"")</f>
        <v>A Dash of Jerzy Cash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Megan Rosendahl</v>
      </c>
      <c r="C205" s="95" t="str">
        <f>IFERROR(IF(INDEX('2nd Youth'!$A:$F,MATCH('2nd Youth Results'!$E205,'2nd Youth'!$F:$F,0),3)&gt;0,INDEX('2nd Youth'!$A:$F,MATCH('2nd Youth Results'!$E205,'2nd Youth'!$F:$F,0),3),""),"")</f>
        <v>A Dash of Jerzy Cash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Megan Rosendahl</v>
      </c>
      <c r="C206" s="95" t="str">
        <f>IFERROR(IF(INDEX('2nd Youth'!$A:$F,MATCH('2nd Youth Results'!$E206,'2nd Youth'!$F:$F,0),3)&gt;0,INDEX('2nd Youth'!$A:$F,MATCH('2nd Youth Results'!$E206,'2nd Youth'!$F:$F,0),3),""),"")</f>
        <v>A Dash of Jerzy Cash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Megan Rosendahl</v>
      </c>
      <c r="C207" s="95" t="str">
        <f>IFERROR(IF(INDEX('2nd Youth'!$A:$F,MATCH('2nd Youth Results'!$E207,'2nd Youth'!$F:$F,0),3)&gt;0,INDEX('2nd Youth'!$A:$F,MATCH('2nd Youth Results'!$E207,'2nd Youth'!$F:$F,0),3),""),"")</f>
        <v>A Dash of Jerzy Cash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Megan Rosendahl</v>
      </c>
      <c r="C208" s="95" t="str">
        <f>IFERROR(IF(INDEX('2nd Youth'!$A:$F,MATCH('2nd Youth Results'!$E208,'2nd Youth'!$F:$F,0),3)&gt;0,INDEX('2nd Youth'!$A:$F,MATCH('2nd Youth Results'!$E208,'2nd Youth'!$F:$F,0),3),""),"")</f>
        <v>A Dash of Jerzy Cash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Megan Rosendahl</v>
      </c>
      <c r="C209" s="95" t="str">
        <f>IFERROR(IF(INDEX('2nd Youth'!$A:$F,MATCH('2nd Youth Results'!$E209,'2nd Youth'!$F:$F,0),3)&gt;0,INDEX('2nd Youth'!$A:$F,MATCH('2nd Youth Results'!$E209,'2nd Youth'!$F:$F,0),3),""),"")</f>
        <v>A Dash of Jerzy Cash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Megan Rosendahl</v>
      </c>
      <c r="C210" s="95" t="str">
        <f>IFERROR(IF(INDEX('2nd Youth'!$A:$F,MATCH('2nd Youth Results'!$E210,'2nd Youth'!$F:$F,0),3)&gt;0,INDEX('2nd Youth'!$A:$F,MATCH('2nd Youth Results'!$E210,'2nd Youth'!$F:$F,0),3),""),"")</f>
        <v>A Dash of Jerzy Cash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Megan Rosendahl</v>
      </c>
      <c r="C211" s="95" t="str">
        <f>IFERROR(IF(INDEX('2nd Youth'!$A:$F,MATCH('2nd Youth Results'!$E211,'2nd Youth'!$F:$F,0),3)&gt;0,INDEX('2nd Youth'!$A:$F,MATCH('2nd Youth Results'!$E211,'2nd Youth'!$F:$F,0),3),""),"")</f>
        <v>A Dash of Jerzy Cash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Megan Rosendahl</v>
      </c>
      <c r="C212" s="95" t="str">
        <f>IFERROR(IF(INDEX('2nd Youth'!$A:$F,MATCH('2nd Youth Results'!$E212,'2nd Youth'!$F:$F,0),3)&gt;0,INDEX('2nd Youth'!$A:$F,MATCH('2nd Youth Results'!$E212,'2nd Youth'!$F:$F,0),3),""),"")</f>
        <v>A Dash of Jerzy Cash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Megan Rosendahl</v>
      </c>
      <c r="C213" s="95" t="str">
        <f>IFERROR(IF(INDEX('2nd Youth'!$A:$F,MATCH('2nd Youth Results'!$E213,'2nd Youth'!$F:$F,0),3)&gt;0,INDEX('2nd Youth'!$A:$F,MATCH('2nd Youth Results'!$E213,'2nd Youth'!$F:$F,0),3),""),"")</f>
        <v>A Dash of Jerzy Cash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Megan Rosendahl</v>
      </c>
      <c r="C214" s="95" t="str">
        <f>IFERROR(IF(INDEX('2nd Youth'!$A:$F,MATCH('2nd Youth Results'!$E214,'2nd Youth'!$F:$F,0),3)&gt;0,INDEX('2nd Youth'!$A:$F,MATCH('2nd Youth Results'!$E214,'2nd Youth'!$F:$F,0),3),""),"")</f>
        <v>A Dash of Jerzy Cash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Megan Rosendahl</v>
      </c>
      <c r="C215" s="95" t="str">
        <f>IFERROR(IF(INDEX('2nd Youth'!$A:$F,MATCH('2nd Youth Results'!$E215,'2nd Youth'!$F:$F,0),3)&gt;0,INDEX('2nd Youth'!$A:$F,MATCH('2nd Youth Results'!$E215,'2nd Youth'!$F:$F,0),3),""),"")</f>
        <v>A Dash of Jerzy Cash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Megan Rosendahl</v>
      </c>
      <c r="C216" s="95" t="str">
        <f>IFERROR(IF(INDEX('2nd Youth'!$A:$F,MATCH('2nd Youth Results'!$E216,'2nd Youth'!$F:$F,0),3)&gt;0,INDEX('2nd Youth'!$A:$F,MATCH('2nd Youth Results'!$E216,'2nd Youth'!$F:$F,0),3),""),"")</f>
        <v>A Dash of Jerzy Cash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Megan Rosendahl</v>
      </c>
      <c r="C217" s="95" t="str">
        <f>IFERROR(IF(INDEX('2nd Youth'!$A:$F,MATCH('2nd Youth Results'!$E217,'2nd Youth'!$F:$F,0),3)&gt;0,INDEX('2nd Youth'!$A:$F,MATCH('2nd Youth Results'!$E217,'2nd Youth'!$F:$F,0),3),""),"")</f>
        <v>A Dash of Jerzy Cash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Megan Rosendahl</v>
      </c>
      <c r="C218" s="95" t="str">
        <f>IFERROR(IF(INDEX('2nd Youth'!$A:$F,MATCH('2nd Youth Results'!$E218,'2nd Youth'!$F:$F,0),3)&gt;0,INDEX('2nd Youth'!$A:$F,MATCH('2nd Youth Results'!$E218,'2nd Youth'!$F:$F,0),3),""),"")</f>
        <v>A Dash of Jerzy Cash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Megan Rosendahl</v>
      </c>
      <c r="C219" s="95" t="str">
        <f>IFERROR(IF(INDEX('2nd Youth'!$A:$F,MATCH('2nd Youth Results'!$E219,'2nd Youth'!$F:$F,0),3)&gt;0,INDEX('2nd Youth'!$A:$F,MATCH('2nd Youth Results'!$E219,'2nd Youth'!$F:$F,0),3),""),"")</f>
        <v>A Dash of Jerzy Cash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Megan Rosendahl</v>
      </c>
      <c r="C220" s="95" t="str">
        <f>IFERROR(IF(INDEX('2nd Youth'!$A:$F,MATCH('2nd Youth Results'!$E220,'2nd Youth'!$F:$F,0),3)&gt;0,INDEX('2nd Youth'!$A:$F,MATCH('2nd Youth Results'!$E220,'2nd Youth'!$F:$F,0),3),""),"")</f>
        <v>A Dash of Jerzy Cash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Megan Rosendahl</v>
      </c>
      <c r="C221" s="95" t="str">
        <f>IFERROR(IF(INDEX('2nd Youth'!$A:$F,MATCH('2nd Youth Results'!$E221,'2nd Youth'!$F:$F,0),3)&gt;0,INDEX('2nd Youth'!$A:$F,MATCH('2nd Youth Results'!$E221,'2nd Youth'!$F:$F,0),3),""),"")</f>
        <v>A Dash of Jerzy Cash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Megan Rosendahl</v>
      </c>
      <c r="C222" s="95" t="str">
        <f>IFERROR(IF(INDEX('2nd Youth'!$A:$F,MATCH('2nd Youth Results'!$E222,'2nd Youth'!$F:$F,0),3)&gt;0,INDEX('2nd Youth'!$A:$F,MATCH('2nd Youth Results'!$E222,'2nd Youth'!$F:$F,0),3),""),"")</f>
        <v>A Dash of Jerzy Cash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Megan Rosendahl</v>
      </c>
      <c r="C223" s="95" t="str">
        <f>IFERROR(IF(INDEX('2nd Youth'!$A:$F,MATCH('2nd Youth Results'!$E223,'2nd Youth'!$F:$F,0),3)&gt;0,INDEX('2nd Youth'!$A:$F,MATCH('2nd Youth Results'!$E223,'2nd Youth'!$F:$F,0),3),""),"")</f>
        <v>A Dash of Jerzy Cash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Megan Rosendahl</v>
      </c>
      <c r="C224" s="95" t="str">
        <f>IFERROR(IF(INDEX('2nd Youth'!$A:$F,MATCH('2nd Youth Results'!$E224,'2nd Youth'!$F:$F,0),3)&gt;0,INDEX('2nd Youth'!$A:$F,MATCH('2nd Youth Results'!$E224,'2nd Youth'!$F:$F,0),3),""),"")</f>
        <v>A Dash of Jerzy Cash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Megan Rosendahl</v>
      </c>
      <c r="C225" s="95" t="str">
        <f>IFERROR(IF(INDEX('2nd Youth'!$A:$F,MATCH('2nd Youth Results'!$E225,'2nd Youth'!$F:$F,0),3)&gt;0,INDEX('2nd Youth'!$A:$F,MATCH('2nd Youth Results'!$E225,'2nd Youth'!$F:$F,0),3),""),"")</f>
        <v>A Dash of Jerzy Cash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Megan Rosendahl</v>
      </c>
      <c r="C226" s="95" t="str">
        <f>IFERROR(IF(INDEX('2nd Youth'!$A:$F,MATCH('2nd Youth Results'!$E226,'2nd Youth'!$F:$F,0),3)&gt;0,INDEX('2nd Youth'!$A:$F,MATCH('2nd Youth Results'!$E226,'2nd Youth'!$F:$F,0),3),""),"")</f>
        <v>A Dash of Jerzy Cash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Megan Rosendahl</v>
      </c>
      <c r="C227" s="95" t="str">
        <f>IFERROR(IF(INDEX('2nd Youth'!$A:$F,MATCH('2nd Youth Results'!$E227,'2nd Youth'!$F:$F,0),3)&gt;0,INDEX('2nd Youth'!$A:$F,MATCH('2nd Youth Results'!$E227,'2nd Youth'!$F:$F,0),3),""),"")</f>
        <v>A Dash of Jerzy Cash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Megan Rosendahl</v>
      </c>
      <c r="C228" s="95" t="str">
        <f>IFERROR(IF(INDEX('2nd Youth'!$A:$F,MATCH('2nd Youth Results'!$E228,'2nd Youth'!$F:$F,0),3)&gt;0,INDEX('2nd Youth'!$A:$F,MATCH('2nd Youth Results'!$E228,'2nd Youth'!$F:$F,0),3),""),"")</f>
        <v>A Dash of Jerzy Cash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Megan Rosendahl</v>
      </c>
      <c r="C229" s="95" t="str">
        <f>IFERROR(IF(INDEX('2nd Youth'!$A:$F,MATCH('2nd Youth Results'!$E229,'2nd Youth'!$F:$F,0),3)&gt;0,INDEX('2nd Youth'!$A:$F,MATCH('2nd Youth Results'!$E229,'2nd Youth'!$F:$F,0),3),""),"")</f>
        <v>A Dash of Jerzy Cash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Megan Rosendahl</v>
      </c>
      <c r="C230" s="95" t="str">
        <f>IFERROR(IF(INDEX('2nd Youth'!$A:$F,MATCH('2nd Youth Results'!$E230,'2nd Youth'!$F:$F,0),3)&gt;0,INDEX('2nd Youth'!$A:$F,MATCH('2nd Youth Results'!$E230,'2nd Youth'!$F:$F,0),3),""),"")</f>
        <v>A Dash of Jerzy Cash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Megan Rosendahl</v>
      </c>
      <c r="C231" s="95" t="str">
        <f>IFERROR(IF(INDEX('2nd Youth'!$A:$F,MATCH('2nd Youth Results'!$E231,'2nd Youth'!$F:$F,0),3)&gt;0,INDEX('2nd Youth'!$A:$F,MATCH('2nd Youth Results'!$E231,'2nd Youth'!$F:$F,0),3),""),"")</f>
        <v>A Dash of Jerzy Cash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Megan Rosendahl</v>
      </c>
      <c r="C232" s="95" t="str">
        <f>IFERROR(IF(INDEX('2nd Youth'!$A:$F,MATCH('2nd Youth Results'!$E232,'2nd Youth'!$F:$F,0),3)&gt;0,INDEX('2nd Youth'!$A:$F,MATCH('2nd Youth Results'!$E232,'2nd Youth'!$F:$F,0),3),""),"")</f>
        <v>A Dash of Jerzy Cash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Megan Rosendahl</v>
      </c>
      <c r="C233" s="95" t="str">
        <f>IFERROR(IF(INDEX('2nd Youth'!$A:$F,MATCH('2nd Youth Results'!$E233,'2nd Youth'!$F:$F,0),3)&gt;0,INDEX('2nd Youth'!$A:$F,MATCH('2nd Youth Results'!$E233,'2nd Youth'!$F:$F,0),3),""),"")</f>
        <v>A Dash of Jerzy Cash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Megan Rosendahl</v>
      </c>
      <c r="C234" s="95" t="str">
        <f>IFERROR(IF(INDEX('2nd Youth'!$A:$F,MATCH('2nd Youth Results'!$E234,'2nd Youth'!$F:$F,0),3)&gt;0,INDEX('2nd Youth'!$A:$F,MATCH('2nd Youth Results'!$E234,'2nd Youth'!$F:$F,0),3),""),"")</f>
        <v>A Dash of Jerzy Cash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Megan Rosendahl</v>
      </c>
      <c r="C235" s="95" t="str">
        <f>IFERROR(IF(INDEX('2nd Youth'!$A:$F,MATCH('2nd Youth Results'!$E235,'2nd Youth'!$F:$F,0),3)&gt;0,INDEX('2nd Youth'!$A:$F,MATCH('2nd Youth Results'!$E235,'2nd Youth'!$F:$F,0),3),""),"")</f>
        <v>A Dash of Jerzy Cash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Megan Rosendahl</v>
      </c>
      <c r="C236" s="95" t="str">
        <f>IFERROR(IF(INDEX('2nd Youth'!$A:$F,MATCH('2nd Youth Results'!$E236,'2nd Youth'!$F:$F,0),3)&gt;0,INDEX('2nd Youth'!$A:$F,MATCH('2nd Youth Results'!$E236,'2nd Youth'!$F:$F,0),3),""),"")</f>
        <v>A Dash of Jerzy Cash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Megan Rosendahl</v>
      </c>
      <c r="C237" s="95" t="str">
        <f>IFERROR(IF(INDEX('2nd Youth'!$A:$F,MATCH('2nd Youth Results'!$E237,'2nd Youth'!$F:$F,0),3)&gt;0,INDEX('2nd Youth'!$A:$F,MATCH('2nd Youth Results'!$E237,'2nd Youth'!$F:$F,0),3),""),"")</f>
        <v>A Dash of Jerzy Cash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Megan Rosendahl</v>
      </c>
      <c r="C238" s="95" t="str">
        <f>IFERROR(IF(INDEX('2nd Youth'!$A:$F,MATCH('2nd Youth Results'!$E238,'2nd Youth'!$F:$F,0),3)&gt;0,INDEX('2nd Youth'!$A:$F,MATCH('2nd Youth Results'!$E238,'2nd Youth'!$F:$F,0),3),""),"")</f>
        <v>A Dash of Jerzy Cash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Megan Rosendahl</v>
      </c>
      <c r="C239" s="95" t="str">
        <f>IFERROR(IF(INDEX('2nd Youth'!$A:$F,MATCH('2nd Youth Results'!$E239,'2nd Youth'!$F:$F,0),3)&gt;0,INDEX('2nd Youth'!$A:$F,MATCH('2nd Youth Results'!$E239,'2nd Youth'!$F:$F,0),3),""),"")</f>
        <v>A Dash of Jerzy Cash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Megan Rosendahl</v>
      </c>
      <c r="C240" s="95" t="str">
        <f>IFERROR(IF(INDEX('2nd Youth'!$A:$F,MATCH('2nd Youth Results'!$E240,'2nd Youth'!$F:$F,0),3)&gt;0,INDEX('2nd Youth'!$A:$F,MATCH('2nd Youth Results'!$E240,'2nd Youth'!$F:$F,0),3),""),"")</f>
        <v>A Dash of Jerzy Cash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Megan Rosendahl</v>
      </c>
      <c r="C241" s="95" t="str">
        <f>IFERROR(IF(INDEX('2nd Youth'!$A:$F,MATCH('2nd Youth Results'!$E241,'2nd Youth'!$F:$F,0),3)&gt;0,INDEX('2nd Youth'!$A:$F,MATCH('2nd Youth Results'!$E241,'2nd Youth'!$F:$F,0),3),""),"")</f>
        <v>A Dash of Jerzy Cash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Megan Rosendahl</v>
      </c>
      <c r="C242" s="95" t="str">
        <f>IFERROR(IF(INDEX('2nd Youth'!$A:$F,MATCH('2nd Youth Results'!$E242,'2nd Youth'!$F:$F,0),3)&gt;0,INDEX('2nd Youth'!$A:$F,MATCH('2nd Youth Results'!$E242,'2nd Youth'!$F:$F,0),3),""),"")</f>
        <v>A Dash of Jerzy Cash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Megan Rosendahl</v>
      </c>
      <c r="C243" s="95" t="str">
        <f>IFERROR(IF(INDEX('2nd Youth'!$A:$F,MATCH('2nd Youth Results'!$E243,'2nd Youth'!$F:$F,0),3)&gt;0,INDEX('2nd Youth'!$A:$F,MATCH('2nd Youth Results'!$E243,'2nd Youth'!$F:$F,0),3),""),"")</f>
        <v>A Dash of Jerzy Cash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Megan Rosendahl</v>
      </c>
      <c r="C244" s="95" t="str">
        <f>IFERROR(IF(INDEX('2nd Youth'!$A:$F,MATCH('2nd Youth Results'!$E244,'2nd Youth'!$F:$F,0),3)&gt;0,INDEX('2nd Youth'!$A:$F,MATCH('2nd Youth Results'!$E244,'2nd Youth'!$F:$F,0),3),""),"")</f>
        <v>A Dash of Jerzy Cash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Megan Rosendahl</v>
      </c>
      <c r="C245" s="95" t="str">
        <f>IFERROR(IF(INDEX('2nd Youth'!$A:$F,MATCH('2nd Youth Results'!$E245,'2nd Youth'!$F:$F,0),3)&gt;0,INDEX('2nd Youth'!$A:$F,MATCH('2nd Youth Results'!$E245,'2nd Youth'!$F:$F,0),3),""),"")</f>
        <v>A Dash of Jerzy Cash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Megan Rosendahl</v>
      </c>
      <c r="C246" s="95" t="str">
        <f>IFERROR(IF(INDEX('2nd Youth'!$A:$F,MATCH('2nd Youth Results'!$E246,'2nd Youth'!$F:$F,0),3)&gt;0,INDEX('2nd Youth'!$A:$F,MATCH('2nd Youth Results'!$E246,'2nd Youth'!$F:$F,0),3),""),"")</f>
        <v>A Dash of Jerzy Cash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Megan Rosendahl</v>
      </c>
      <c r="C247" s="95" t="str">
        <f>IFERROR(IF(INDEX('2nd Youth'!$A:$F,MATCH('2nd Youth Results'!$E247,'2nd Youth'!$F:$F,0),3)&gt;0,INDEX('2nd Youth'!$A:$F,MATCH('2nd Youth Results'!$E247,'2nd Youth'!$F:$F,0),3),""),"")</f>
        <v>A Dash of Jerzy Cash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Megan Rosendahl</v>
      </c>
      <c r="C248" s="95" t="str">
        <f>IFERROR(IF(INDEX('2nd Youth'!$A:$F,MATCH('2nd Youth Results'!$E248,'2nd Youth'!$F:$F,0),3)&gt;0,INDEX('2nd Youth'!$A:$F,MATCH('2nd Youth Results'!$E248,'2nd Youth'!$F:$F,0),3),""),"")</f>
        <v>A Dash of Jerzy Cash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Megan Rosendahl</v>
      </c>
      <c r="C249" s="95" t="str">
        <f>IFERROR(IF(INDEX('2nd Youth'!$A:$F,MATCH('2nd Youth Results'!$E249,'2nd Youth'!$F:$F,0),3)&gt;0,INDEX('2nd Youth'!$A:$F,MATCH('2nd Youth Results'!$E249,'2nd Youth'!$F:$F,0),3),""),"")</f>
        <v>A Dash of Jerzy Cash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Megan Rosendahl</v>
      </c>
      <c r="C250" s="95" t="str">
        <f>IFERROR(IF(INDEX('2nd Youth'!$A:$F,MATCH('2nd Youth Results'!$E250,'2nd Youth'!$F:$F,0),3)&gt;0,INDEX('2nd Youth'!$A:$F,MATCH('2nd Youth Results'!$E250,'2nd Youth'!$F:$F,0),3),""),"")</f>
        <v>A Dash of Jerzy Cash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Megan Rosendahl</v>
      </c>
      <c r="C251" s="95" t="str">
        <f>IFERROR(IF(INDEX('2nd Youth'!$A:$F,MATCH('2nd Youth Results'!$E251,'2nd Youth'!$F:$F,0),3)&gt;0,INDEX('2nd Youth'!$A:$F,MATCH('2nd Youth Results'!$E251,'2nd Youth'!$F:$F,0),3),""),"")</f>
        <v>A Dash of Jerzy Cash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zoomScale="74" zoomScaleNormal="90" workbookViewId="0">
      <pane ySplit="1" topLeftCell="A2" activePane="bottomLeft" state="frozen"/>
      <selection pane="bottomLeft" activeCell="D18" sqref="D18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53" width="0" style="21" hidden="1" customWidth="1"/>
    <col min="54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Megan Rosendahl</v>
      </c>
      <c r="C2" s="23" t="str">
        <f>IFERROR(Draw!Z2,"")</f>
        <v>A Dash of Jerzy Cash</v>
      </c>
      <c r="D2" s="96">
        <f>IF(OR(A2="oco",A2="oy"),VLOOKUP(CONCATENATE(B2,C2),'Open 2'!T:U,2,FALSE),"")</f>
        <v>15.195</v>
      </c>
      <c r="E2" s="106">
        <v>1.0000000000000001E-9</v>
      </c>
      <c r="F2" s="107">
        <f>IFERROR(IF(D2="scratch",3000+E2,IF(D2="nt",1000+E2,IF((D2+E2)&gt;5,D2+E2,""))),"")</f>
        <v>15.195000001</v>
      </c>
      <c r="G2" s="201" t="str">
        <f>IF(OR(AND(D2&gt;1,D2&lt;1050),D2="nt",D2="",D2="scratch"),"","Not valid")</f>
        <v/>
      </c>
      <c r="S2" s="21" t="str">
        <f>CONCATENATE(B2,C2)</f>
        <v>Megan RosendahlA Dash of Jerzy Cash</v>
      </c>
      <c r="T2" s="109">
        <f t="shared" ref="T2:T65" si="0">D2</f>
        <v>15.195</v>
      </c>
      <c r="V2" s="3" t="str">
        <f>IFERROR(VLOOKUP('Youth 2'!F2,$AC$3:$AD$7,2,TRUE),"")</f>
        <v>2D</v>
      </c>
      <c r="W2" s="8" t="str">
        <f>IFERROR(IF(V2=$W$1,'Youth 2'!F2,""),"")</f>
        <v/>
      </c>
      <c r="X2" s="8">
        <f>IFERROR(IF(V2=$X$1,'Youth 2'!F2,""),"")</f>
        <v>15.195000001</v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0.75</v>
      </c>
    </row>
    <row r="3" spans="1:47" ht="16.5" thickBot="1">
      <c r="A3" s="22" t="str">
        <f>IF(B3="","",Draw!X3)</f>
        <v>oco</v>
      </c>
      <c r="B3" s="23" t="str">
        <f>IFERROR(Draw!Y3,"")</f>
        <v>Aleah Marco</v>
      </c>
      <c r="C3" s="23" t="str">
        <f>IFERROR(Draw!Z3,"")</f>
        <v>Premier Passum</v>
      </c>
      <c r="D3" s="96">
        <f>IF(OR(A3="oco",A3="oy"),VLOOKUP(CONCATENATE(B3,C3),'Open 2'!T:U,2,FALSE),"")</f>
        <v>14.935</v>
      </c>
      <c r="E3" s="106">
        <v>2.0000000000000001E-9</v>
      </c>
      <c r="F3" s="107">
        <f t="shared" ref="F3:F66" si="1">IFERROR(IF(D3="scratch",3000+E3,IF(D3="nt",1000+E3,IF((D3+E3)&gt;5,D3+E3,""))),"")</f>
        <v>14.935000002000001</v>
      </c>
      <c r="G3" s="201" t="str">
        <f t="shared" ref="G3:G66" si="2">IF(OR(AND(D3&gt;1,D3&lt;1050),D3="nt",D3="",D3="scratch"),"","Not valid")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Aleah MarcoPremier Passum</v>
      </c>
      <c r="T3" s="109">
        <f t="shared" si="0"/>
        <v>14.935</v>
      </c>
      <c r="V3" s="3" t="str">
        <f>IFERROR(VLOOKUP('Youth 2'!F3,$AC$3:$AD$7,2,TRUE),"")</f>
        <v>1D</v>
      </c>
      <c r="W3" s="8">
        <f>IFERROR(IF(V3=$W$1,'Youth 2'!F3,""),"")</f>
        <v>14.935000002000001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14.551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oco</v>
      </c>
      <c r="B4" s="23" t="str">
        <f>IFERROR(Draw!Y4,"")</f>
        <v>Andrea Hansen</v>
      </c>
      <c r="C4" s="23" t="str">
        <f>IFERROR(Draw!Z4,"")</f>
        <v>Betty</v>
      </c>
      <c r="D4" s="96">
        <f>IF(OR(A4="oco",A4="oy"),VLOOKUP(CONCATENATE(B4,C4),'Open 2'!T:U,2,FALSE),"")</f>
        <v>14.551</v>
      </c>
      <c r="E4" s="106">
        <v>3E-9</v>
      </c>
      <c r="F4" s="107">
        <f t="shared" si="1"/>
        <v>14.551000003</v>
      </c>
      <c r="G4" s="201" t="str">
        <f t="shared" si="2"/>
        <v/>
      </c>
      <c r="H4" s="24"/>
      <c r="L4" s="262" t="s">
        <v>3</v>
      </c>
      <c r="M4" s="46" t="str">
        <f>'Youth 2'!AD10</f>
        <v>1st</v>
      </c>
      <c r="N4" s="29" t="str">
        <f>'Youth 2'!AE10</f>
        <v>Andrea Hansen</v>
      </c>
      <c r="O4" s="29" t="str">
        <f>'Youth 2'!AF10</f>
        <v>Betty</v>
      </c>
      <c r="P4" s="47">
        <f>'Youth 2'!AG10</f>
        <v>14.551000003</v>
      </c>
      <c r="Q4" s="181">
        <f>AH10</f>
        <v>66</v>
      </c>
      <c r="S4" s="21" t="str">
        <f t="shared" si="3"/>
        <v>Andrea HansenBetty</v>
      </c>
      <c r="T4" s="109">
        <f t="shared" si="0"/>
        <v>14.551</v>
      </c>
      <c r="V4" s="3" t="str">
        <f>IFERROR(VLOOKUP('Youth 2'!F4,$AC$3:$AD$7,2,TRUE),"")</f>
        <v>1D</v>
      </c>
      <c r="W4" s="8">
        <f>IFERROR(IF(V4=$W$1,'Youth 2'!F4,""),"")</f>
        <v>14.551000003</v>
      </c>
      <c r="X4" s="8" t="str">
        <f>IFERROR(IF(V4=$X$1,'Youth 2'!F4,""),"")</f>
        <v/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15.051</v>
      </c>
      <c r="AD4" s="13" t="s">
        <v>4</v>
      </c>
      <c r="AE4" s="72"/>
      <c r="AF4" s="220">
        <f>SMALL(D2:D18,1)</f>
        <v>14.551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66</v>
      </c>
      <c r="AR4" s="177">
        <f t="shared" si="4"/>
        <v>44</v>
      </c>
      <c r="AS4" s="177">
        <f t="shared" si="4"/>
        <v>33</v>
      </c>
      <c r="AT4" s="177">
        <f t="shared" si="4"/>
        <v>22</v>
      </c>
    </row>
    <row r="5" spans="1:47" ht="16.5" thickBot="1">
      <c r="A5" s="22" t="str">
        <f>IF(B5="","",Draw!X5)</f>
        <v>oy</v>
      </c>
      <c r="B5" s="23" t="str">
        <f>IFERROR(Draw!Y5,"")</f>
        <v>Autumn Maxfield</v>
      </c>
      <c r="C5" s="23" t="str">
        <f>IFERROR(Draw!Z5,"")</f>
        <v>Split</v>
      </c>
      <c r="D5" s="96">
        <f>IF(OR(A5="oco",A5="oy"),VLOOKUP(CONCATENATE(B5,C5),'Open 2'!T:U,2,FALSE),"")</f>
        <v>16.303999999999998</v>
      </c>
      <c r="E5" s="106">
        <v>4.0000000000000002E-9</v>
      </c>
      <c r="F5" s="107">
        <f t="shared" si="1"/>
        <v>16.304000003999999</v>
      </c>
      <c r="G5" s="201" t="str">
        <f t="shared" si="2"/>
        <v/>
      </c>
      <c r="I5" s="93" t="s">
        <v>3</v>
      </c>
      <c r="J5" s="88">
        <f>'Youth 2'!AC3</f>
        <v>14.551</v>
      </c>
      <c r="L5" s="263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Autumn MaxfieldSplit</v>
      </c>
      <c r="T5" s="109">
        <f t="shared" si="0"/>
        <v>16.303999999999998</v>
      </c>
      <c r="V5" s="3" t="str">
        <f>IFERROR(VLOOKUP('Youth 2'!F5,$AC$3:$AD$7,2,TRUE),"")</f>
        <v>3D</v>
      </c>
      <c r="W5" s="8" t="str">
        <f>IFERROR(IF(V5=$W$1,'Youth 2'!F5,""),"")</f>
        <v/>
      </c>
      <c r="X5" s="8" t="str">
        <f>IFERROR(IF(V5=$X$1,'Youth 2'!F5,""),"")</f>
        <v/>
      </c>
      <c r="Y5" s="8">
        <f>IFERROR(IF(V5=$Y$1,'Youth 2'!F5,""),"")</f>
        <v>16.304000003999999</v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15.551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Sierra Berg</v>
      </c>
      <c r="C6" s="23" t="str">
        <f>IFERROR(Draw!Z6,"")</f>
        <v>Houdini</v>
      </c>
      <c r="D6" s="96" t="str">
        <f>IF(OR(A6="oco",A6="oy"),VLOOKUP(CONCATENATE(B6,C6),'Open 2'!T:U,2,FALSE),"")</f>
        <v>nt</v>
      </c>
      <c r="E6" s="106">
        <v>5.0000000000000001E-9</v>
      </c>
      <c r="F6" s="107">
        <f t="shared" si="1"/>
        <v>1000.0000000049999</v>
      </c>
      <c r="G6" s="201" t="str">
        <f t="shared" si="2"/>
        <v/>
      </c>
      <c r="I6" s="54" t="s">
        <v>4</v>
      </c>
      <c r="J6" s="88">
        <f>'Youth 2'!AC4</f>
        <v>15.051</v>
      </c>
      <c r="L6" s="263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Sierra BergHoudini</v>
      </c>
      <c r="T6" s="109" t="str">
        <f t="shared" si="0"/>
        <v>nt</v>
      </c>
      <c r="V6" s="3" t="str">
        <f>IFERROR(VLOOKUP('Youth 2'!F6,$AC$3:$AD$7,2,TRUE),"")</f>
        <v>4D</v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>
        <f>IFERROR(IF($V6=$Z$1,'Youth 2'!F6,""),"")</f>
        <v>1000.0000000049999</v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16.551000000000002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15.551</v>
      </c>
      <c r="L7" s="263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Kendall Gillen</v>
      </c>
      <c r="C8" s="23" t="str">
        <f>IFERROR(Draw!Z8,"")</f>
        <v>Blue Eyes</v>
      </c>
      <c r="D8" s="96">
        <f>IF(OR(A8="oco",A8="oy"),VLOOKUP(CONCATENATE(B8,C8),'Open 2'!T:U,2,FALSE),"")</f>
        <v>14.916</v>
      </c>
      <c r="E8" s="106">
        <v>6.9999999999999998E-9</v>
      </c>
      <c r="F8" s="107">
        <f t="shared" si="1"/>
        <v>14.916000007000001</v>
      </c>
      <c r="G8" s="201" t="str">
        <f t="shared" si="2"/>
        <v/>
      </c>
      <c r="I8" s="92" t="s">
        <v>6</v>
      </c>
      <c r="J8" s="89">
        <f>'Youth 2'!AC6</f>
        <v>16.551000000000002</v>
      </c>
      <c r="L8" s="264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>Kendall GillenBlue Eyes</v>
      </c>
      <c r="T8" s="109">
        <f t="shared" si="0"/>
        <v>14.916</v>
      </c>
      <c r="V8" s="3" t="str">
        <f>IFERROR(VLOOKUP('Youth 2'!F8,$AC$3:$AD$7,2,TRUE),"")</f>
        <v>1D</v>
      </c>
      <c r="W8" s="8">
        <f>IFERROR(IF(V8=$W$1,'Youth 2'!F8,""),"")</f>
        <v>14.916000007000001</v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>oy</v>
      </c>
      <c r="B9" s="23" t="str">
        <f>IFERROR(Draw!Y9,"")</f>
        <v>Josey Fey</v>
      </c>
      <c r="C9" s="23" t="str">
        <f>IFERROR(Draw!Z9,"")</f>
        <v>O SO Country</v>
      </c>
      <c r="D9" s="96">
        <f>IF(OR(A9="oco",A9="oy"),VLOOKUP(CONCATENATE(B9,C9),'Open 2'!T:U,2,FALSE),"")</f>
        <v>14.581</v>
      </c>
      <c r="E9" s="106">
        <v>8.0000000000000005E-9</v>
      </c>
      <c r="F9" s="107">
        <f t="shared" si="1"/>
        <v>14.581000008</v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>Josey FeyO SO Country</v>
      </c>
      <c r="T9" s="109">
        <f t="shared" si="0"/>
        <v>14.581</v>
      </c>
      <c r="V9" s="3" t="str">
        <f>IFERROR(VLOOKUP('Youth 2'!F9,$AC$3:$AD$7,2,TRUE),"")</f>
        <v>1D</v>
      </c>
      <c r="W9" s="8">
        <f>IFERROR(IF(V9=$W$1,'Youth 2'!F9,""),"")</f>
        <v>14.581000008</v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66</v>
      </c>
      <c r="AR9" s="176">
        <f>AR2*$AO$12</f>
        <v>44</v>
      </c>
      <c r="AS9" s="176">
        <f>AS2*$AO$12</f>
        <v>33</v>
      </c>
      <c r="AT9" s="176">
        <f>AT2*$AO$12</f>
        <v>22</v>
      </c>
    </row>
    <row r="10" spans="1:47" ht="16.5" thickBot="1">
      <c r="A10" s="22" t="str">
        <f>IF(B10="","",Draw!X10)</f>
        <v>oy</v>
      </c>
      <c r="B10" s="23" t="str">
        <f>IFERROR(Draw!Y10,"")</f>
        <v>Hatty Fey</v>
      </c>
      <c r="C10" s="23" t="str">
        <f>IFERROR(Draw!Z10,"")</f>
        <v>Maude</v>
      </c>
      <c r="D10" s="96">
        <f>IF(OR(A10="oco",A10="oy"),VLOOKUP(CONCATENATE(B10,C10),'Open 2'!T:U,2,FALSE),"")</f>
        <v>14.814</v>
      </c>
      <c r="E10" s="106">
        <v>8.9999999999999995E-9</v>
      </c>
      <c r="F10" s="107">
        <f t="shared" si="1"/>
        <v>14.814000009000001</v>
      </c>
      <c r="G10" s="201" t="str">
        <f t="shared" si="2"/>
        <v/>
      </c>
      <c r="K10" s="57">
        <v>1</v>
      </c>
      <c r="L10" s="265" t="s">
        <v>4</v>
      </c>
      <c r="M10" s="46" t="str">
        <f>'Youth 2'!AD16</f>
        <v>1st</v>
      </c>
      <c r="N10" s="29" t="str">
        <f>'Youth 2'!AE16</f>
        <v>Megan Rosendahl</v>
      </c>
      <c r="O10" s="29" t="str">
        <f>'Youth 2'!AF16</f>
        <v>A Dash of Jerzy Cash</v>
      </c>
      <c r="P10" s="47">
        <f>'Youth 2'!AG16</f>
        <v>15.195000001</v>
      </c>
      <c r="Q10" s="181">
        <f>AH16</f>
        <v>44</v>
      </c>
      <c r="S10" s="21" t="str">
        <f t="shared" si="3"/>
        <v>Hatty FeyMaude</v>
      </c>
      <c r="T10" s="109">
        <f t="shared" si="0"/>
        <v>14.814</v>
      </c>
      <c r="V10" s="3" t="str">
        <f>IFERROR(VLOOKUP('Youth 2'!F10,$AC$3:$AD$7,2,TRUE),"")</f>
        <v>1D</v>
      </c>
      <c r="W10" s="8">
        <f>IFERROR(IF(V10=$W$1,'Youth 2'!F10,""),"")</f>
        <v>14.814000009000001</v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IFERROR(INDEX('Youth 2'!B:F,MATCH(AG10,'Youth 2'!$F:$F,0),1),"-")</f>
        <v>Andrea Hansen</v>
      </c>
      <c r="AF10" s="73" t="str">
        <f>IFERROR(INDEX('Youth 2'!$B:$F,MATCH(AG10,'Youth 2'!$F:$F,0),2),"-")</f>
        <v>Betty</v>
      </c>
      <c r="AG10" s="8">
        <f>IFERROR(SMALL($W$2:$W$286,AI10),"-")</f>
        <v>14.551000003</v>
      </c>
      <c r="AH10" s="178">
        <f>IF(AQ4&gt;0,AQ4,"")</f>
        <v>66</v>
      </c>
      <c r="AI10">
        <v>1</v>
      </c>
      <c r="AJ10"/>
      <c r="AK10"/>
      <c r="AL10" s="270" t="s">
        <v>75</v>
      </c>
      <c r="AM10" s="270"/>
      <c r="AN10" s="270"/>
      <c r="AO10" s="21">
        <f>J11</f>
        <v>11</v>
      </c>
    </row>
    <row r="11" spans="1:47" ht="16.5" thickBot="1">
      <c r="A11" s="22" t="str">
        <f>IF(B11="","",Draw!X11)</f>
        <v>oy</v>
      </c>
      <c r="B11" s="23" t="str">
        <f>IFERROR(Draw!Y11,"")</f>
        <v>Hatty Fey</v>
      </c>
      <c r="C11" s="23" t="str">
        <f>IFERROR(Draw!Z11,"")</f>
        <v>Sage</v>
      </c>
      <c r="D11" s="96">
        <f>IF(OR(A11="oco",A11="oy"),VLOOKUP(CONCATENATE(B11,C11),'Open 2'!T:U,2,FALSE),"")</f>
        <v>15.303000000000001</v>
      </c>
      <c r="E11" s="106">
        <v>1E-8</v>
      </c>
      <c r="F11" s="107">
        <f t="shared" si="1"/>
        <v>15.303000010000002</v>
      </c>
      <c r="G11" s="201" t="str">
        <f t="shared" si="2"/>
        <v/>
      </c>
      <c r="H11" s="260" t="s">
        <v>77</v>
      </c>
      <c r="I11" s="261"/>
      <c r="J11" s="219">
        <f>COUNTIF('Youth 2'!$A$2:$A$286,"&gt;0")+COUNTIF('Youth 2'!$A$2:$A$286,"oco")+COUNTIF('Youth 2'!$A$2:$A$286,"oy")-COUNTIF(D2:D286,"scratch")</f>
        <v>11</v>
      </c>
      <c r="K11" s="58">
        <v>2</v>
      </c>
      <c r="L11" s="266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>Hatty FeySage</v>
      </c>
      <c r="T11" s="109">
        <f t="shared" si="0"/>
        <v>15.303000000000001</v>
      </c>
      <c r="V11" s="3" t="str">
        <f>IFERROR(VLOOKUP('Youth 2'!F11,$AC$3:$AD$7,2,TRUE),"")</f>
        <v>2D</v>
      </c>
      <c r="W11" s="8" t="str">
        <f>IFERROR(IF(V11=$W$1,'Youth 2'!F11,""),"")</f>
        <v/>
      </c>
      <c r="X11" s="8">
        <f>IFERROR(IF(V11=$X$1,'Youth 2'!F11,""),"")</f>
        <v>15.303000010000002</v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9"/>
      <c r="AD11" s="73" t="str">
        <f>IF(AE11="-","-",AB11)</f>
        <v>2nd</v>
      </c>
      <c r="AE11" s="73" t="str">
        <f>IFERROR(INDEX('Youth 2'!B:F,MATCH(AG11,'Youth 2'!$F:$F,0),1),"-")</f>
        <v>Josey Fey</v>
      </c>
      <c r="AF11" s="73" t="str">
        <f>IFERROR(INDEX('Youth 2'!$B:$F,MATCH(AG11,'Youth 2'!$F:$F,0),2),"-")</f>
        <v>O SO Country</v>
      </c>
      <c r="AG11" s="8">
        <f>IFERROR(SMALL($W$2:$W$286,AI11),"-")</f>
        <v>14.581000008</v>
      </c>
      <c r="AH11" s="178" t="str">
        <f>IF(AQ5&gt;0,AQ5,"")</f>
        <v/>
      </c>
      <c r="AI11">
        <v>2</v>
      </c>
      <c r="AJ11"/>
      <c r="AK11"/>
      <c r="AL11" s="270" t="s">
        <v>76</v>
      </c>
      <c r="AM11" s="270"/>
      <c r="AN11" s="270"/>
      <c r="AO11" s="176">
        <v>20</v>
      </c>
    </row>
    <row r="12" spans="1:47" ht="16.5" thickBot="1">
      <c r="A12" s="22" t="str">
        <f>IF(B12="","",Draw!X12)</f>
        <v>oy</v>
      </c>
      <c r="B12" s="23" t="str">
        <f>IFERROR(Draw!Y12,"")</f>
        <v>Hayden Seitz</v>
      </c>
      <c r="C12" s="23" t="str">
        <f>IFERROR(Draw!Z12,"")</f>
        <v>Jitter</v>
      </c>
      <c r="D12" s="96">
        <f>IF(OR(A12="oco",A12="oy"),VLOOKUP(CONCATENATE(B12,C12),'Open 2'!T:U,2,FALSE),"")</f>
        <v>14.657</v>
      </c>
      <c r="E12" s="106">
        <v>1.0999999999999999E-8</v>
      </c>
      <c r="F12" s="107">
        <f t="shared" si="1"/>
        <v>14.657000010999999</v>
      </c>
      <c r="G12" s="201" t="str">
        <f t="shared" si="2"/>
        <v/>
      </c>
      <c r="K12" s="58">
        <v>3</v>
      </c>
      <c r="L12" s="266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>Hayden SeitzJitter</v>
      </c>
      <c r="T12" s="109">
        <f t="shared" si="0"/>
        <v>14.657</v>
      </c>
      <c r="V12" s="3" t="str">
        <f>IFERROR(VLOOKUP('Youth 2'!F12,$AC$3:$AD$7,2,TRUE),"")</f>
        <v>1D</v>
      </c>
      <c r="W12" s="8">
        <f>IFERROR(IF(V12=$W$1,'Youth 2'!F12,""),"")</f>
        <v>14.657000010999999</v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9"/>
      <c r="AD12" s="73" t="str">
        <f>IF(AE12="-","-",AB12)</f>
        <v>3rd</v>
      </c>
      <c r="AE12" s="73" t="str">
        <f>IFERROR(INDEX('Youth 2'!B:F,MATCH(AG12,'Youth 2'!$F:$F,0),1),"-")</f>
        <v>Hayden Seitz</v>
      </c>
      <c r="AF12" s="73" t="str">
        <f>IFERROR(INDEX('Youth 2'!$B:$F,MATCH(AG12,'Youth 2'!$F:$F,0),2),"-")</f>
        <v>Jitter</v>
      </c>
      <c r="AG12" s="8">
        <f>IFERROR(SMALL($W$2:$W$286,AI12),"-")</f>
        <v>14.657000010999999</v>
      </c>
      <c r="AH12" s="178" t="str">
        <f>IF(AQ6&gt;0,AQ6,"")</f>
        <v/>
      </c>
      <c r="AI12">
        <v>3</v>
      </c>
      <c r="AJ12"/>
      <c r="AK12"/>
      <c r="AL12" s="270" t="s">
        <v>78</v>
      </c>
      <c r="AM12" s="270"/>
      <c r="AN12" s="270"/>
      <c r="AO12" s="176">
        <f>(AO10*AO11)+J3</f>
        <v>220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6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9"/>
      <c r="AD13" s="73" t="str">
        <f>IF(AE13="-","-",AB13)</f>
        <v>4th</v>
      </c>
      <c r="AE13" s="73" t="str">
        <f>IFERROR(INDEX('Youth 2'!B:F,MATCH(AG13,'Youth 2'!$F:$F,0),1),"-")</f>
        <v>Kennedy Stephens</v>
      </c>
      <c r="AF13" s="73" t="str">
        <f>IFERROR(INDEX('Youth 2'!$B:$F,MATCH(AG13,'Youth 2'!$F:$F,0),2),"-")</f>
        <v>Hollywood</v>
      </c>
      <c r="AG13" s="8">
        <f>IFERROR(SMALL($W$2:$W$286,AI13),"-")</f>
        <v>14.713000012999998</v>
      </c>
      <c r="AH13" s="178" t="str">
        <f>IF(AQ7&gt;0,AQ7,"")</f>
        <v/>
      </c>
      <c r="AI13">
        <v>4</v>
      </c>
      <c r="AJ13"/>
      <c r="AK13"/>
      <c r="AL13" s="270" t="s">
        <v>10</v>
      </c>
      <c r="AM13" s="270"/>
      <c r="AN13" s="270"/>
      <c r="AO13" s="176">
        <f>AO12*AU2</f>
        <v>165</v>
      </c>
    </row>
    <row r="14" spans="1:47" ht="16.5" thickBot="1">
      <c r="A14" s="22" t="str">
        <f>IF(B14="","",Draw!X14)</f>
        <v>oy</v>
      </c>
      <c r="B14" s="23" t="str">
        <f>IFERROR(Draw!Y14,"")</f>
        <v>Kennedy Stephens</v>
      </c>
      <c r="C14" s="23" t="str">
        <f>IFERROR(Draw!Z14,"")</f>
        <v>Hollywood</v>
      </c>
      <c r="D14" s="96">
        <f>IF(OR(A14="oco",A14="oy"),VLOOKUP(CONCATENATE(B14,C14),'Open 2'!T:U,2,FALSE),"")</f>
        <v>14.712999999999999</v>
      </c>
      <c r="E14" s="106">
        <v>1.3000000000000001E-8</v>
      </c>
      <c r="F14" s="107">
        <f t="shared" si="1"/>
        <v>14.713000012999998</v>
      </c>
      <c r="G14" s="201" t="str">
        <f t="shared" si="2"/>
        <v/>
      </c>
      <c r="K14" s="58">
        <v>5</v>
      </c>
      <c r="L14" s="267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>Kennedy StephensHollywood</v>
      </c>
      <c r="T14" s="109">
        <f t="shared" si="0"/>
        <v>14.712999999999999</v>
      </c>
      <c r="V14" s="3" t="str">
        <f>IFERROR(VLOOKUP('Youth 2'!F14,$AC$3:$AD$7,2,TRUE),"")</f>
        <v>1D</v>
      </c>
      <c r="W14" s="8">
        <f>IFERROR(IF(V14=$W$1,'Youth 2'!F14,""),"")</f>
        <v>14.713000012999998</v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9"/>
      <c r="AD14" s="73" t="str">
        <f>IF(AE14="-","-",AB14)</f>
        <v>5th</v>
      </c>
      <c r="AE14" s="73" t="str">
        <f>IFERROR(INDEX('Youth 2'!B:F,MATCH(AG14,'Youth 2'!$F:$F,0),1),"-")</f>
        <v>Hatty Fey</v>
      </c>
      <c r="AF14" s="73" t="str">
        <f>IFERROR(INDEX('Youth 2'!$B:$F,MATCH(AG14,'Youth 2'!$F:$F,0),2),"-")</f>
        <v>Maude</v>
      </c>
      <c r="AG14" s="8">
        <f>IFERROR(SMALL($W$2:$W$286,AI14),"-")</f>
        <v>14.814000009000001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5" t="s">
        <v>27</v>
      </c>
      <c r="J15" s="276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7" t="s">
        <v>5</v>
      </c>
      <c r="M16" s="46" t="str">
        <f>'Youth 2'!AD22</f>
        <v>1st</v>
      </c>
      <c r="N16" s="29" t="str">
        <f>'Youth 2'!AE22</f>
        <v>Autumn Maxfield</v>
      </c>
      <c r="O16" s="29" t="str">
        <f>'Youth 2'!AF22</f>
        <v>Split</v>
      </c>
      <c r="P16" s="47">
        <f>'Youth 2'!AG22</f>
        <v>16.304000003999999</v>
      </c>
      <c r="Q16" s="181">
        <f>AH22</f>
        <v>33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9" t="s">
        <v>4</v>
      </c>
      <c r="AD16" s="19" t="str">
        <f>IF(AE16="-","-",AB16)</f>
        <v>1st</v>
      </c>
      <c r="AE16" s="19" t="str">
        <f>IFERROR(INDEX('Youth 2'!B:F,MATCH(AG16,'Youth 2'!F:F,0),1),"-")</f>
        <v>Megan Rosendahl</v>
      </c>
      <c r="AF16" s="19" t="str">
        <f>IFERROR(INDEX('Youth 2'!B:F,MATCH(AG16,'Youth 2'!F:F,0),2),"-")</f>
        <v>A Dash of Jerzy Cash</v>
      </c>
      <c r="AG16" s="4">
        <f>IFERROR(SMALL($X$2:$X$286,AI16),"-")</f>
        <v>15.195000001</v>
      </c>
      <c r="AH16" s="179">
        <f>IF(AR4&gt;0,AR4,"")</f>
        <v>44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8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9"/>
      <c r="AD17" s="19" t="str">
        <f>IF(AE17="-","-",AB17)</f>
        <v>2nd</v>
      </c>
      <c r="AE17" s="19" t="str">
        <f>IFERROR(INDEX('Youth 2'!B:F,MATCH(AG17,'Youth 2'!F:F,0),1),"-")</f>
        <v>Hatty Fey</v>
      </c>
      <c r="AF17" s="19" t="str">
        <f>IFERROR(INDEX('Youth 2'!B:F,MATCH(AG17,'Youth 2'!F:F,0),2),"-")</f>
        <v>Sage</v>
      </c>
      <c r="AG17" s="4">
        <f>IFERROR(SMALL($X$2:$X$286,AI17),"-")</f>
        <v>15.303000010000002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8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9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8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9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9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9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80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22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9" t="s">
        <v>5</v>
      </c>
      <c r="AD22" s="19" t="str">
        <f>IF(AE22="-","-","1st")</f>
        <v>1st</v>
      </c>
      <c r="AE22" s="19" t="str">
        <f>IFERROR(INDEX('Youth 2'!B:F,MATCH(AG22,'Youth 2'!F:F,0),1),"-")</f>
        <v>Autumn Maxfield</v>
      </c>
      <c r="AF22" s="19" t="str">
        <f>IFERROR(INDEX('Youth 2'!B:F,MATCH(AG22,'Youth 2'!F:F,0),2),"-")</f>
        <v>Split</v>
      </c>
      <c r="AG22" s="78">
        <f>IFERROR(SMALL($Y$2:$Y$286,AI22),"-")</f>
        <v>16.304000003999999</v>
      </c>
      <c r="AH22" s="179">
        <f>IF(AS4&gt;0,AS4,"")</f>
        <v>33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81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9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81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9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81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9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82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9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71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9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22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72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9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72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9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72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9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3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9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9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9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9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9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4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15" sqref="J15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>Andrea Hansen</v>
      </c>
      <c r="C2" s="95" t="str">
        <f>IFERROR(IF(INDEX('Youth 2'!$A:$F,MATCH('Youth Results 2'!$E2,'Youth 2'!$F:$F,0),3)&gt;0,INDEX('Youth 2'!$A:$F,MATCH('Youth Results 2'!$E2,'Youth 2'!$F:$F,0),3),""),"")</f>
        <v>Betty</v>
      </c>
      <c r="D2" s="96">
        <f>IFERROR(IF(AND(SMALL('Youth 2'!F:F,K2)&gt;1000,SMALL('Youth 2'!F:F,K2)&lt;3000),"nt",IF(SMALL('Youth 2'!F:F,K2)&gt;3000,"",SMALL('Youth 2'!F:F,K2))),"")</f>
        <v>14.551000003</v>
      </c>
      <c r="E2" s="132">
        <f>IF(D2="nt",IFERROR(SMALL('Youth 2'!F:F,K2),""),IF(D2&gt;3000,"",IFERROR(SMALL('Youth 2'!F:F,K2),"")))</f>
        <v>14.551000003</v>
      </c>
      <c r="F2" s="97" t="str">
        <f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oy</v>
      </c>
      <c r="B3" s="95" t="str">
        <f>IFERROR(IF(INDEX('Youth 2'!$A:$F,MATCH('Youth Results 2'!$E3,'Youth 2'!$F:$F,0),2)&gt;0,INDEX('Youth 2'!$A:$F,MATCH('Youth Results 2'!$E3,'Youth 2'!$F:$F,0),2),""),"")</f>
        <v>Josey Fey</v>
      </c>
      <c r="C3" s="95" t="str">
        <f>IFERROR(IF(INDEX('Youth 2'!$A:$F,MATCH('Youth Results 2'!$E3,'Youth 2'!$F:$F,0),3)&gt;0,INDEX('Youth 2'!$A:$F,MATCH('Youth Results 2'!$E3,'Youth 2'!$F:$F,0),3),""),"")</f>
        <v>O SO Country</v>
      </c>
      <c r="D3" s="96">
        <f>IFERROR(IF(AND(SMALL('Youth 2'!F:F,K3)&gt;1000,SMALL('Youth 2'!F:F,K3)&lt;3000),"nt",IF(SMALL('Youth 2'!F:F,K3)&gt;3000,"",SMALL('Youth 2'!F:F,K3))),"")</f>
        <v>14.581000008</v>
      </c>
      <c r="E3" s="132">
        <f>IF(D3="nt",IFERROR(SMALL('Youth 2'!F:F,K3),""),IF(D3&gt;3000,"",IFERROR(SMALL('Youth 2'!F:F,K3),"")))</f>
        <v>14.581000008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14.551000003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Hayden Seitz</v>
      </c>
      <c r="C4" s="95" t="str">
        <f>IFERROR(IF(INDEX('Youth 2'!$A:$F,MATCH('Youth Results 2'!$E4,'Youth 2'!$F:$F,0),3)&gt;0,INDEX('Youth 2'!$A:$F,MATCH('Youth Results 2'!$E4,'Youth 2'!$F:$F,0),3),""),"")</f>
        <v>Jitter</v>
      </c>
      <c r="D4" s="96">
        <f>IFERROR(IF(AND(SMALL('Youth 2'!F:F,K4)&gt;1000,SMALL('Youth 2'!F:F,K4)&lt;3000),"nt",IF(SMALL('Youth 2'!F:F,K4)&gt;3000,"",SMALL('Youth 2'!F:F,K4))),"")</f>
        <v>14.657000010999999</v>
      </c>
      <c r="E4" s="132">
        <f>IF(D4="nt",IFERROR(SMALL('Youth 2'!F:F,K4),""),IF(D4&gt;3000,"",IFERROR(SMALL('Youth 2'!F:F,K4),"")))</f>
        <v>14.657000010999999</v>
      </c>
      <c r="F4" s="97" t="str">
        <f t="shared" si="0"/>
        <v>1D</v>
      </c>
      <c r="G4" s="104" t="str">
        <f t="shared" si="1"/>
        <v/>
      </c>
      <c r="H4" s="90">
        <f>'Youth 2'!P10</f>
        <v>15.195000001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Kennedy Stephens</v>
      </c>
      <c r="C5" s="95" t="str">
        <f>IFERROR(IF(INDEX('Youth 2'!$A:$F,MATCH('Youth Results 2'!$E5,'Youth 2'!$F:$F,0),3)&gt;0,INDEX('Youth 2'!$A:$F,MATCH('Youth Results 2'!$E5,'Youth 2'!$F:$F,0),3),""),"")</f>
        <v>Hollywood</v>
      </c>
      <c r="D5" s="96">
        <f>IFERROR(IF(AND(SMALL('Youth 2'!F:F,K5)&gt;1000,SMALL('Youth 2'!F:F,K5)&lt;3000),"nt",IF(SMALL('Youth 2'!F:F,K5)&gt;3000,"",SMALL('Youth 2'!F:F,K5))),"")</f>
        <v>14.713000012999998</v>
      </c>
      <c r="E5" s="132">
        <f>IF(D5="nt",IFERROR(SMALL('Youth 2'!F:F,K5),""),IF(D5&gt;3000,"",IFERROR(SMALL('Youth 2'!F:F,K5),"")))</f>
        <v>14.713000012999998</v>
      </c>
      <c r="F5" s="97" t="str">
        <f t="shared" si="0"/>
        <v>1D</v>
      </c>
      <c r="G5" s="104" t="str">
        <f t="shared" si="1"/>
        <v/>
      </c>
      <c r="H5" s="90">
        <f>'Youth 2'!P16</f>
        <v>16.304000003999999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oy</v>
      </c>
      <c r="B6" s="95" t="str">
        <f>IFERROR(IF(INDEX('Youth 2'!$A:$F,MATCH('Youth Results 2'!$E6,'Youth 2'!$F:$F,0),2)&gt;0,INDEX('Youth 2'!$A:$F,MATCH('Youth Results 2'!$E6,'Youth 2'!$F:$F,0),2),""),"")</f>
        <v>Hatty Fey</v>
      </c>
      <c r="C6" s="95" t="str">
        <f>IFERROR(IF(INDEX('Youth 2'!$A:$F,MATCH('Youth Results 2'!$E6,'Youth 2'!$F:$F,0),3)&gt;0,INDEX('Youth 2'!$A:$F,MATCH('Youth Results 2'!$E6,'Youth 2'!$F:$F,0),3),""),"")</f>
        <v>Maude</v>
      </c>
      <c r="D6" s="96">
        <f>IFERROR(IF(AND(SMALL('Youth 2'!F:F,K6)&gt;1000,SMALL('Youth 2'!F:F,K6)&lt;3000),"nt",IF(SMALL('Youth 2'!F:F,K6)&gt;3000,"",SMALL('Youth 2'!F:F,K6))),"")</f>
        <v>14.814000009000001</v>
      </c>
      <c r="E6" s="132">
        <f>IF(D6="nt",IFERROR(SMALL('Youth 2'!F:F,K6),""),IF(D6&gt;3000,"",IFERROR(SMALL('Youth 2'!F:F,K6),"")))</f>
        <v>14.814000009000001</v>
      </c>
      <c r="F6" s="97" t="str">
        <f t="shared" si="0"/>
        <v>1D</v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oy</v>
      </c>
      <c r="B7" s="95" t="str">
        <f>IFERROR(IF(INDEX('Youth 2'!$A:$F,MATCH('Youth Results 2'!$E7,'Youth 2'!$F:$F,0),2)&gt;0,INDEX('Youth 2'!$A:$F,MATCH('Youth Results 2'!$E7,'Youth 2'!$F:$F,0),2),""),"")</f>
        <v>Kendall Gillen</v>
      </c>
      <c r="C7" s="95" t="str">
        <f>IFERROR(IF(INDEX('Youth 2'!$A:$F,MATCH('Youth Results 2'!$E7,'Youth 2'!$F:$F,0),3)&gt;0,INDEX('Youth 2'!$A:$F,MATCH('Youth Results 2'!$E7,'Youth 2'!$F:$F,0),3),""),"")</f>
        <v>Blue Eyes</v>
      </c>
      <c r="D7" s="96">
        <f>IFERROR(IF(AND(SMALL('Youth 2'!F:F,K7)&gt;1000,SMALL('Youth 2'!F:F,K7)&lt;3000),"nt",IF(SMALL('Youth 2'!F:F,K7)&gt;3000,"",SMALL('Youth 2'!F:F,K7))),"")</f>
        <v>14.916000007000001</v>
      </c>
      <c r="E7" s="132">
        <f>IF(D7="nt",IFERROR(SMALL('Youth 2'!F:F,K7),""),IF(D7&gt;3000,"",IFERROR(SMALL('Youth 2'!F:F,K7),"")))</f>
        <v>14.916000007000001</v>
      </c>
      <c r="F7" s="97" t="str">
        <f t="shared" si="0"/>
        <v>1D</v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>oco</v>
      </c>
      <c r="B8" s="95" t="str">
        <f>IFERROR(IF(INDEX('Youth 2'!$A:$F,MATCH('Youth Results 2'!$E8,'Youth 2'!$F:$F,0),2)&gt;0,INDEX('Youth 2'!$A:$F,MATCH('Youth Results 2'!$E8,'Youth 2'!$F:$F,0),2),""),"")</f>
        <v>Aleah Marco</v>
      </c>
      <c r="C8" s="95" t="str">
        <f>IFERROR(IF(INDEX('Youth 2'!$A:$F,MATCH('Youth Results 2'!$E8,'Youth 2'!$F:$F,0),3)&gt;0,INDEX('Youth 2'!$A:$F,MATCH('Youth Results 2'!$E8,'Youth 2'!$F:$F,0),3),""),"")</f>
        <v>Premier Passum</v>
      </c>
      <c r="D8" s="96">
        <f>IFERROR(IF(AND(SMALL('Youth 2'!F:F,K8)&gt;1000,SMALL('Youth 2'!F:F,K8)&lt;3000),"nt",IF(SMALL('Youth 2'!F:F,K8)&gt;3000,"",SMALL('Youth 2'!F:F,K8))),"")</f>
        <v>14.935000002000001</v>
      </c>
      <c r="E8" s="132">
        <f>IF(D8="nt",IFERROR(SMALL('Youth 2'!F:F,K8),""),IF(D8&gt;3000,"",IFERROR(SMALL('Youth 2'!F:F,K8),"")))</f>
        <v>14.935000002000001</v>
      </c>
      <c r="F8" s="97" t="str">
        <f t="shared" si="0"/>
        <v>1D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>oco</v>
      </c>
      <c r="B9" s="95" t="str">
        <f>IFERROR(IF(INDEX('Youth 2'!$A:$F,MATCH('Youth Results 2'!$E9,'Youth 2'!$F:$F,0),2)&gt;0,INDEX('Youth 2'!$A:$F,MATCH('Youth Results 2'!$E9,'Youth 2'!$F:$F,0),2),""),"")</f>
        <v>Megan Rosendahl</v>
      </c>
      <c r="C9" s="95" t="str">
        <f>IFERROR(IF(INDEX('Youth 2'!$A:$F,MATCH('Youth Results 2'!$E9,'Youth 2'!$F:$F,0),3)&gt;0,INDEX('Youth 2'!$A:$F,MATCH('Youth Results 2'!$E9,'Youth 2'!$F:$F,0),3),""),"")</f>
        <v>A Dash of Jerzy Cash</v>
      </c>
      <c r="D9" s="96">
        <f>IFERROR(IF(AND(SMALL('Youth 2'!F:F,K9)&gt;1000,SMALL('Youth 2'!F:F,K9)&lt;3000),"nt",IF(SMALL('Youth 2'!F:F,K9)&gt;3000,"",SMALL('Youth 2'!F:F,K9))),"")</f>
        <v>15.195000001</v>
      </c>
      <c r="E9" s="132">
        <f>IF(D9="nt",IFERROR(SMALL('Youth 2'!F:F,K9),""),IF(D9&gt;3000,"",IFERROR(SMALL('Youth 2'!F:F,K9),"")))</f>
        <v>15.195000001</v>
      </c>
      <c r="F9" s="97" t="str">
        <f t="shared" si="0"/>
        <v>2D</v>
      </c>
      <c r="G9" s="104" t="str">
        <f t="shared" si="1"/>
        <v>2D</v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>oy</v>
      </c>
      <c r="B10" s="95" t="str">
        <f>IFERROR(IF(INDEX('Youth 2'!$A:$F,MATCH('Youth Results 2'!$E10,'Youth 2'!$F:$F,0),2)&gt;0,INDEX('Youth 2'!$A:$F,MATCH('Youth Results 2'!$E10,'Youth 2'!$F:$F,0),2),""),"")</f>
        <v>Hatty Fey</v>
      </c>
      <c r="C10" s="95" t="str">
        <f>IFERROR(IF(INDEX('Youth 2'!$A:$F,MATCH('Youth Results 2'!$E10,'Youth 2'!$F:$F,0),3)&gt;0,INDEX('Youth 2'!$A:$F,MATCH('Youth Results 2'!$E10,'Youth 2'!$F:$F,0),3),""),"")</f>
        <v>Sage</v>
      </c>
      <c r="D10" s="96">
        <f>IFERROR(IF(AND(SMALL('Youth 2'!F:F,K10)&gt;1000,SMALL('Youth 2'!F:F,K10)&lt;3000),"nt",IF(SMALL('Youth 2'!F:F,K10)&gt;3000,"",SMALL('Youth 2'!F:F,K10))),"")</f>
        <v>15.303000010000002</v>
      </c>
      <c r="E10" s="132">
        <f>IF(D10="nt",IFERROR(SMALL('Youth 2'!F:F,K10),""),IF(D10&gt;3000,"",IFERROR(SMALL('Youth 2'!F:F,K10),"")))</f>
        <v>15.303000010000002</v>
      </c>
      <c r="F10" s="97" t="str">
        <f t="shared" si="0"/>
        <v>2D</v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>oy</v>
      </c>
      <c r="B11" s="95" t="str">
        <f>IFERROR(IF(INDEX('Youth 2'!$A:$F,MATCH('Youth Results 2'!$E11,'Youth 2'!$F:$F,0),2)&gt;0,INDEX('Youth 2'!$A:$F,MATCH('Youth Results 2'!$E11,'Youth 2'!$F:$F,0),2),""),"")</f>
        <v>Autumn Maxfield</v>
      </c>
      <c r="C11" s="95" t="str">
        <f>IFERROR(IF(INDEX('Youth 2'!$A:$F,MATCH('Youth Results 2'!$E11,'Youth 2'!$F:$F,0),3)&gt;0,INDEX('Youth 2'!$A:$F,MATCH('Youth Results 2'!$E11,'Youth 2'!$F:$F,0),3),""),"")</f>
        <v>Split</v>
      </c>
      <c r="D11" s="96">
        <f>IFERROR(IF(AND(SMALL('Youth 2'!F:F,K11)&gt;1000,SMALL('Youth 2'!F:F,K11)&lt;3000),"nt",IF(SMALL('Youth 2'!F:F,K11)&gt;3000,"",SMALL('Youth 2'!F:F,K11))),"")</f>
        <v>16.304000003999999</v>
      </c>
      <c r="E11" s="132">
        <f>IF(D11="nt",IFERROR(SMALL('Youth 2'!F:F,K11),""),IF(D11&gt;3000,"",IFERROR(SMALL('Youth 2'!F:F,K11),"")))</f>
        <v>16.304000003999999</v>
      </c>
      <c r="F11" s="97" t="str">
        <f t="shared" si="0"/>
        <v>3D</v>
      </c>
      <c r="G11" s="104" t="str">
        <f t="shared" si="1"/>
        <v>3D</v>
      </c>
      <c r="J11" s="141">
        <v>5</v>
      </c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>oy</v>
      </c>
      <c r="B12" s="95" t="str">
        <f>IFERROR(IF(INDEX('Youth 2'!$A:$F,MATCH('Youth Results 2'!$E12,'Youth 2'!$F:$F,0),2)&gt;0,INDEX('Youth 2'!$A:$F,MATCH('Youth Results 2'!$E12,'Youth 2'!$F:$F,0),2),""),"")</f>
        <v>Sierra Berg</v>
      </c>
      <c r="C12" s="95" t="str">
        <f>IFERROR(IF(INDEX('Youth 2'!$A:$F,MATCH('Youth Results 2'!$E12,'Youth 2'!$F:$F,0),3)&gt;0,INDEX('Youth 2'!$A:$F,MATCH('Youth Results 2'!$E12,'Youth 2'!$F:$F,0),3),""),"")</f>
        <v>Houdini</v>
      </c>
      <c r="D12" s="96" t="str">
        <f>IFERROR(IF(AND(SMALL('Youth 2'!F:F,K12)&gt;1000,SMALL('Youth 2'!F:F,K12)&lt;3000),"nt",IF(SMALL('Youth 2'!F:F,K12)&gt;3000,"",SMALL('Youth 2'!F:F,K12))),"")</f>
        <v>nt</v>
      </c>
      <c r="E12" s="132">
        <f>IF(D12="nt",IFERROR(SMALL('Youth 2'!F:F,K12),""),IF(D12&gt;3000,"",IFERROR(SMALL('Youth 2'!F:F,K12),"")))</f>
        <v>1000.0000000049999</v>
      </c>
      <c r="F12" s="97" t="str">
        <f t="shared" si="0"/>
        <v>4D</v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topLeftCell="O1" zoomScale="90" zoomScaleNormal="90" workbookViewId="0">
      <pane ySplit="1" topLeftCell="A2" activePane="bottomLeft" state="frozen"/>
      <selection pane="bottomLeft" activeCell="D13" sqref="D13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Kaitilynn Jorgensen</v>
      </c>
      <c r="C2" s="23" t="str">
        <f>IFERROR(Draw!L2,"")</f>
        <v xml:space="preserve">Kitty Dun It </v>
      </c>
      <c r="D2" s="59" t="s">
        <v>244</v>
      </c>
      <c r="E2" s="24">
        <v>1E-8</v>
      </c>
      <c r="F2" s="107">
        <f>IF(D2="scratch",3000+E2,IF(D2="nt",1000+E2,IF((D2+E2)&gt;5,D2+E2,"")))</f>
        <v>1000.00000001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Kara Martin</v>
      </c>
      <c r="C3" s="27" t="str">
        <f>IFERROR(Draw!L3,"")</f>
        <v>Fame</v>
      </c>
      <c r="D3" s="60">
        <v>927.81899999999996</v>
      </c>
      <c r="E3" s="24">
        <v>2E-8</v>
      </c>
      <c r="F3" s="107">
        <f t="shared" ref="F3:F66" si="0">IF(D3="scratch",3000+E3,IF(D3="nt",1000+E3,IF((D3+E3)&gt;5,D3+E3,"")))</f>
        <v>927.81900001999998</v>
      </c>
      <c r="G3" s="90" t="str">
        <f>IF(OR(AND(D3&gt;1,D3&lt;1050),D3="nt",D3="",D3="scratch"),"","Not a valid input")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Kayla Pappendick</v>
      </c>
      <c r="C4" s="27" t="str">
        <f>IFERROR(Draw!L4,"")</f>
        <v>Buddy</v>
      </c>
      <c r="D4" s="61">
        <v>22.940999999999999</v>
      </c>
      <c r="E4" s="24">
        <v>2.9999999999999997E-8</v>
      </c>
      <c r="F4" s="107">
        <f t="shared" si="0"/>
        <v>22.941000029999998</v>
      </c>
      <c r="G4" s="90" t="str">
        <f>IF(OR(AND(D4&gt;1,D4&lt;1050),D4="nt",D4="",D4="scratch"),"","Not a valid input")</f>
        <v/>
      </c>
      <c r="L4" s="262" t="s">
        <v>3</v>
      </c>
      <c r="M4" s="46" t="str">
        <f>'Poles Calculations'!G8</f>
        <v>1st</v>
      </c>
      <c r="N4" s="29" t="str">
        <f>'Poles Calculations'!H8</f>
        <v>Kendall Gillen</v>
      </c>
      <c r="O4" s="29" t="str">
        <f>'Poles Calculations'!I8</f>
        <v>Blue Eyes</v>
      </c>
      <c r="P4" s="47">
        <f>'Poles Calculations'!J8</f>
        <v>22.72400004</v>
      </c>
      <c r="Q4" s="191">
        <f>'Poles Calculations'!K8</f>
        <v>100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Kendall Gillen</v>
      </c>
      <c r="C5" s="27" t="str">
        <f>IFERROR(Draw!L5,"")</f>
        <v>Blue Eyes</v>
      </c>
      <c r="D5" s="62">
        <v>22.724</v>
      </c>
      <c r="E5" s="24">
        <v>4.0000000000000001E-8</v>
      </c>
      <c r="F5" s="107">
        <f t="shared" si="0"/>
        <v>22.72400004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22.724</v>
      </c>
      <c r="L5" s="263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Andrea Hansen</v>
      </c>
      <c r="C6" s="27" t="str">
        <f>IFERROR(Draw!L6,"")</f>
        <v>Betty</v>
      </c>
      <c r="D6" s="62">
        <v>22.893000000000001</v>
      </c>
      <c r="E6" s="24">
        <v>4.9999999999999998E-8</v>
      </c>
      <c r="F6" s="107">
        <f t="shared" si="0"/>
        <v>22.893000050000001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24.724</v>
      </c>
      <c r="L6" s="263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26.724</v>
      </c>
      <c r="L7" s="263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Autumn Maxfield</v>
      </c>
      <c r="C8" s="27" t="str">
        <f>IFERROR(Draw!L8,"")</f>
        <v>Split</v>
      </c>
      <c r="D8" s="59">
        <v>926.173</v>
      </c>
      <c r="E8" s="24">
        <v>7.0000000000000005E-8</v>
      </c>
      <c r="F8" s="107">
        <f t="shared" si="0"/>
        <v>926.17300007000006</v>
      </c>
      <c r="G8" s="90" t="str">
        <f t="shared" ref="G8:G71" si="2">IF(OR(AND(D8&gt;1,D8&lt;1050),D8="nt",D8="",D8="scratch"),"","Not a valid input")</f>
        <v/>
      </c>
      <c r="I8" s="197"/>
      <c r="J8" s="90"/>
      <c r="L8" s="264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Hayden Seitz</v>
      </c>
      <c r="C9" s="27" t="str">
        <f>IFERROR(Draw!L9,"")</f>
        <v>Jitter</v>
      </c>
      <c r="D9" s="60">
        <v>924.09400000000005</v>
      </c>
      <c r="E9" s="24">
        <v>8.0000000000000002E-8</v>
      </c>
      <c r="F9" s="107">
        <f t="shared" si="0"/>
        <v>924.09400008</v>
      </c>
      <c r="G9" s="90" t="str">
        <f t="shared" si="2"/>
        <v/>
      </c>
      <c r="H9" s="260" t="s">
        <v>77</v>
      </c>
      <c r="I9" s="261"/>
      <c r="J9" s="219">
        <v>10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Lily Foss</v>
      </c>
      <c r="C10" s="27" t="str">
        <f>IFERROR(Draw!L10,"")</f>
        <v>Horse 1</v>
      </c>
      <c r="D10" s="61" t="s">
        <v>244</v>
      </c>
      <c r="E10" s="24">
        <v>8.9999999999999999E-8</v>
      </c>
      <c r="F10" s="107">
        <f t="shared" si="0"/>
        <v>1000.00000009</v>
      </c>
      <c r="G10" s="90" t="str">
        <f t="shared" si="2"/>
        <v/>
      </c>
      <c r="K10" s="57">
        <v>1</v>
      </c>
      <c r="L10" s="289" t="s">
        <v>4</v>
      </c>
      <c r="M10" s="46" t="str">
        <f>'Poles Calculations'!G14</f>
        <v>-</v>
      </c>
      <c r="N10" s="29" t="str">
        <f>'Poles Calculations'!H14</f>
        <v>-</v>
      </c>
      <c r="O10" s="29" t="str">
        <f>'Poles Calculations'!I14</f>
        <v>-</v>
      </c>
      <c r="P10" s="47" t="str">
        <f>'Poles Calculations'!J14</f>
        <v>-</v>
      </c>
      <c r="Q10" s="193">
        <f>'Poles Calculations'!K14</f>
        <v>60</v>
      </c>
      <c r="T10" s="270" t="s">
        <v>75</v>
      </c>
      <c r="U10" s="270"/>
      <c r="V10" s="270"/>
      <c r="W10" s="127">
        <f>J9</f>
        <v>10</v>
      </c>
    </row>
    <row r="11" spans="1:29" ht="16.5" thickBot="1">
      <c r="A11" s="25">
        <f>IF(B11="","",Draw!J11)</f>
        <v>9</v>
      </c>
      <c r="B11" s="27" t="str">
        <f>IFERROR(Draw!K11,"")</f>
        <v>Makayla Cross</v>
      </c>
      <c r="C11" s="27" t="str">
        <f>IFERROR(Draw!L11,"")</f>
        <v>Kix</v>
      </c>
      <c r="D11" s="62">
        <v>23.030999999999999</v>
      </c>
      <c r="E11" s="24">
        <v>9.9999999999999995E-8</v>
      </c>
      <c r="F11" s="107">
        <f t="shared" si="0"/>
        <v>23.0310001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90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70" t="s">
        <v>76</v>
      </c>
      <c r="U11" s="270"/>
      <c r="V11" s="270"/>
      <c r="W11" s="176">
        <v>20</v>
      </c>
    </row>
    <row r="12" spans="1:29" ht="16.5" thickBot="1">
      <c r="A12" s="25">
        <v>10</v>
      </c>
      <c r="B12" s="27" t="s">
        <v>247</v>
      </c>
      <c r="C12" s="27" t="s">
        <v>248</v>
      </c>
      <c r="D12" s="62">
        <v>922.98500000000001</v>
      </c>
      <c r="E12" s="24">
        <v>1.1000000000000001E-7</v>
      </c>
      <c r="F12" s="107">
        <f t="shared" si="0"/>
        <v>922.98500010999999</v>
      </c>
      <c r="G12" s="90" t="str">
        <f t="shared" si="2"/>
        <v/>
      </c>
      <c r="H12" s="56"/>
      <c r="K12" s="58">
        <v>3</v>
      </c>
      <c r="L12" s="290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70" t="s">
        <v>78</v>
      </c>
      <c r="U12" s="270"/>
      <c r="V12" s="270"/>
      <c r="W12" s="176">
        <f>W10*W11</f>
        <v>200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5" t="s">
        <v>27</v>
      </c>
      <c r="J13" s="276"/>
      <c r="K13" s="58">
        <v>4</v>
      </c>
      <c r="L13" s="290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70" t="s">
        <v>10</v>
      </c>
      <c r="U13" s="270"/>
      <c r="V13" s="270"/>
      <c r="W13" s="176">
        <f>W12*AC2</f>
        <v>199.99999999999997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91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6" t="s">
        <v>5</v>
      </c>
      <c r="M16" s="46" t="str">
        <f>'Poles Calculations'!G20</f>
        <v>-</v>
      </c>
      <c r="N16" s="29" t="str">
        <f>'Poles Calculations'!H20</f>
        <v>-</v>
      </c>
      <c r="O16" s="29" t="str">
        <f>'Poles Calculations'!I20</f>
        <v>-</v>
      </c>
      <c r="P16" s="47" t="str">
        <f>'Poles Calculations'!J20</f>
        <v>-</v>
      </c>
      <c r="Q16" s="193">
        <f>'Poles Calculations'!K20</f>
        <v>40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87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87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87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8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H3:I3"/>
    <mergeCell ref="L4:L8"/>
    <mergeCell ref="L10:L14"/>
    <mergeCell ref="L16:L20"/>
    <mergeCell ref="I13:J13"/>
    <mergeCell ref="H9:I9"/>
    <mergeCell ref="T10:V10"/>
    <mergeCell ref="T11:V11"/>
    <mergeCell ref="T12:V12"/>
    <mergeCell ref="T13:V13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2" sqref="J12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4</v>
      </c>
      <c r="B2" s="95" t="str">
        <f>IFERROR(IF(INDEX(Poles!$A:$F,MATCH('Poles Results'!$E2,Poles!$F:$F,0),2)&gt;0,INDEX(Poles!$A:$F,MATCH('Poles Results'!$E2,Poles!$F:$F,0),2),""),"")</f>
        <v>Kendall Gillen</v>
      </c>
      <c r="C2" s="95" t="str">
        <f>IFERROR(IF(INDEX(Poles!$A:$F,MATCH('Poles Results'!E2,Poles!$F:$F,0),3)&gt;0,INDEX(Poles!$A:$F,MATCH('Poles Results'!E2,Poles!$F:$F,0),3),""),"")</f>
        <v>Blue Eyes</v>
      </c>
      <c r="D2" s="96">
        <f>IFERROR(IF(AND(SMALL(Poles!F:F,K2)&gt;1000,SMALL(Poles!F:F,K2)&lt;3000),"nt",IF(SMALL(Poles!F:F,K2)&gt;3000,"",SMALL(Poles!F:F,K2))),"")</f>
        <v>22.72400004</v>
      </c>
      <c r="E2" s="132">
        <f>IF(D2="nt",IFERROR(SMALL(Poles!F:F,K2),""),IF(D2&gt;3000,"",IFERROR(SMALL(Poles!F:F,K2),"")))</f>
        <v>22.72400004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5</v>
      </c>
      <c r="B3" s="95" t="str">
        <f>IFERROR(IF(INDEX(Poles!$A:$F,MATCH('Poles Results'!$E3,Poles!$F:$F,0),2)&gt;0,INDEX(Poles!$A:$F,MATCH('Poles Results'!$E3,Poles!$F:$F,0),2),""),"")</f>
        <v>Andrea Hansen</v>
      </c>
      <c r="C3" s="95" t="str">
        <f>IFERROR(IF(INDEX(Poles!$A:$F,MATCH('Poles Results'!E3,Poles!$F:$F,0),3)&gt;0,INDEX(Poles!$A:$F,MATCH('Poles Results'!E3,Poles!$F:$F,0),3),""),"")</f>
        <v>Betty</v>
      </c>
      <c r="D3" s="96">
        <f>IFERROR(IF(AND(SMALL(Poles!F:F,K3)&gt;1000,SMALL(Poles!F:F,K3)&lt;3000),"nt",IF(SMALL(Poles!F:F,K3)&gt;3000,"",SMALL(Poles!F:F,K3))),"")</f>
        <v>22.893000050000001</v>
      </c>
      <c r="E3" s="132">
        <f>IF(D3="nt",IFERROR(SMALL(Poles!F:F,K3),""),IF(D3&gt;3000,"",IFERROR(SMALL(Poles!F:F,K3),"")))</f>
        <v>22.893000050000001</v>
      </c>
      <c r="F3" s="97" t="str">
        <f t="shared" si="0"/>
        <v>1D</v>
      </c>
      <c r="G3" s="104" t="str">
        <f t="shared" si="1"/>
        <v/>
      </c>
      <c r="H3" s="90">
        <f>Poles!P4</f>
        <v>22.72400004</v>
      </c>
      <c r="I3" s="68" t="s">
        <v>3</v>
      </c>
      <c r="J3" s="141"/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3</v>
      </c>
      <c r="B4" s="95" t="str">
        <f>IFERROR(IF(INDEX(Poles!$A:$F,MATCH('Poles Results'!$E4,Poles!$F:$F,0),2)&gt;0,INDEX(Poles!$A:$F,MATCH('Poles Results'!$E4,Poles!$F:$F,0),2),""),"")</f>
        <v>Kayla Pappendick</v>
      </c>
      <c r="C4" s="95" t="str">
        <f>IFERROR(IF(INDEX(Poles!$A:$F,MATCH('Poles Results'!E4,Poles!$F:$F,0),3)&gt;0,INDEX(Poles!$A:$F,MATCH('Poles Results'!E4,Poles!$F:$F,0),3),""),"")</f>
        <v>Buddy</v>
      </c>
      <c r="D4" s="96">
        <f>IFERROR(IF(AND(SMALL(Poles!F:F,K4)&gt;1000,SMALL(Poles!F:F,K4)&lt;3000),"nt",IF(SMALL(Poles!F:F,K4)&gt;3000,"",SMALL(Poles!F:F,K4))),"")</f>
        <v>22.941000029999998</v>
      </c>
      <c r="E4" s="132">
        <f>IF(D4="nt",IFERROR(SMALL(Poles!F:F,K4),""),IF(D4&gt;3000,"",IFERROR(SMALL(Poles!F:F,K4),"")))</f>
        <v>22.941000029999998</v>
      </c>
      <c r="F4" s="97" t="str">
        <f t="shared" si="0"/>
        <v>1D</v>
      </c>
      <c r="G4" s="104" t="str">
        <f t="shared" si="1"/>
        <v/>
      </c>
      <c r="H4" s="90" t="str">
        <f>Poles!P10</f>
        <v>-</v>
      </c>
      <c r="I4" s="98" t="s">
        <v>4</v>
      </c>
      <c r="J4" s="141">
        <v>5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9</v>
      </c>
      <c r="B5" s="95" t="str">
        <f>IFERROR(IF(INDEX(Poles!$A:$F,MATCH('Poles Results'!$E5,Poles!$F:$F,0),2)&gt;0,INDEX(Poles!$A:$F,MATCH('Poles Results'!$E5,Poles!$F:$F,0),2),""),"")</f>
        <v>Makayla Cross</v>
      </c>
      <c r="C5" s="95" t="str">
        <f>IFERROR(IF(INDEX(Poles!$A:$F,MATCH('Poles Results'!E5,Poles!$F:$F,0),3)&gt;0,INDEX(Poles!$A:$F,MATCH('Poles Results'!E5,Poles!$F:$F,0),3),""),"")</f>
        <v>Kix</v>
      </c>
      <c r="D5" s="96">
        <f>IFERROR(IF(AND(SMALL(Poles!F:F,K5)&gt;1000,SMALL(Poles!F:F,K5)&lt;3000),"nt",IF(SMALL(Poles!F:F,K5)&gt;3000,"",SMALL(Poles!F:F,K5))),"")</f>
        <v>23.0310001</v>
      </c>
      <c r="E5" s="132">
        <f>IF(D5="nt",IFERROR(SMALL(Poles!F:F,K5),""),IF(D5&gt;3000,"",IFERROR(SMALL(Poles!F:F,K5),"")))</f>
        <v>23.0310001</v>
      </c>
      <c r="F5" s="97" t="str">
        <f t="shared" si="0"/>
        <v>1D</v>
      </c>
      <c r="G5" s="104" t="str">
        <f t="shared" si="1"/>
        <v/>
      </c>
      <c r="H5" s="90" t="str">
        <f>Poles!P16</f>
        <v>-</v>
      </c>
      <c r="I5" s="98" t="s">
        <v>5</v>
      </c>
      <c r="J5" s="142">
        <v>4</v>
      </c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10</v>
      </c>
      <c r="B6" s="95" t="str">
        <f>IFERROR(IF(INDEX(Poles!$A:$F,MATCH('Poles Results'!$E6,Poles!$F:$F,0),2)&gt;0,INDEX(Poles!$A:$F,MATCH('Poles Results'!$E6,Poles!$F:$F,0),2),""),"")</f>
        <v>Brylee Redlin</v>
      </c>
      <c r="C6" s="95" t="str">
        <f>IFERROR(IF(INDEX(Poles!$A:$F,MATCH('Poles Results'!E6,Poles!$F:$F,0),3)&gt;0,INDEX(Poles!$A:$F,MATCH('Poles Results'!E6,Poles!$F:$F,0),3),""),"")</f>
        <v>HotRod</v>
      </c>
      <c r="D6" s="96">
        <f>IFERROR(IF(AND(SMALL(Poles!F:F,K6)&gt;1000,SMALL(Poles!F:F,K6)&lt;3000),"nt",IF(SMALL(Poles!F:F,K6)&gt;3000,"",SMALL(Poles!F:F,K6))),"")</f>
        <v>922.98500010999999</v>
      </c>
      <c r="E6" s="132">
        <f>IF(D6="nt",IFERROR(SMALL(Poles!F:F,K6),""),IF(D6&gt;3000,"",IFERROR(SMALL(Poles!F:F,K6),"")))</f>
        <v>922.98500010999999</v>
      </c>
      <c r="F6" s="97" t="str">
        <f t="shared" si="0"/>
        <v>1D</v>
      </c>
      <c r="G6" s="104" t="str">
        <f t="shared" si="1"/>
        <v/>
      </c>
      <c r="J6" s="141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7</v>
      </c>
      <c r="B7" s="95" t="str">
        <f>IFERROR(IF(INDEX(Poles!$A:$F,MATCH('Poles Results'!$E7,Poles!$F:$F,0),2)&gt;0,INDEX(Poles!$A:$F,MATCH('Poles Results'!$E7,Poles!$F:$F,0),2),""),"")</f>
        <v>Hayden Seitz</v>
      </c>
      <c r="C7" s="95" t="str">
        <f>IFERROR(IF(INDEX(Poles!$A:$F,MATCH('Poles Results'!E7,Poles!$F:$F,0),3)&gt;0,INDEX(Poles!$A:$F,MATCH('Poles Results'!E7,Poles!$F:$F,0),3),""),"")</f>
        <v>Jitter</v>
      </c>
      <c r="D7" s="96">
        <f>IFERROR(IF(AND(SMALL(Poles!F:F,K7)&gt;1000,SMALL(Poles!F:F,K7)&lt;3000),"nt",IF(SMALL(Poles!F:F,K7)&gt;3000,"",SMALL(Poles!F:F,K7))),"")</f>
        <v>924.09400008</v>
      </c>
      <c r="E7" s="132">
        <f>IF(D7="nt",IFERROR(SMALL(Poles!F:F,K7),""),IF(D7&gt;3000,"",IFERROR(SMALL(Poles!F:F,K7),"")))</f>
        <v>924.09400008</v>
      </c>
      <c r="F7" s="97" t="str">
        <f t="shared" si="0"/>
        <v>1D</v>
      </c>
      <c r="G7" s="104" t="str">
        <f t="shared" si="1"/>
        <v/>
      </c>
      <c r="J7" s="141"/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6</v>
      </c>
      <c r="B8" s="95" t="str">
        <f>IFERROR(IF(INDEX(Poles!$A:$F,MATCH('Poles Results'!$E8,Poles!$F:$F,0),2)&gt;0,INDEX(Poles!$A:$F,MATCH('Poles Results'!$E8,Poles!$F:$F,0),2),""),"")</f>
        <v>Autumn Maxfield</v>
      </c>
      <c r="C8" s="95" t="str">
        <f>IFERROR(IF(INDEX(Poles!$A:$F,MATCH('Poles Results'!E8,Poles!$F:$F,0),3)&gt;0,INDEX(Poles!$A:$F,MATCH('Poles Results'!E8,Poles!$F:$F,0),3),""),"")</f>
        <v>Split</v>
      </c>
      <c r="D8" s="96">
        <f>IFERROR(IF(AND(SMALL(Poles!F:F,K8)&gt;1000,SMALL(Poles!F:F,K8)&lt;3000),"nt",IF(SMALL(Poles!F:F,K8)&gt;3000,"",SMALL(Poles!F:F,K8))),"")</f>
        <v>926.17300007000006</v>
      </c>
      <c r="E8" s="132">
        <f>IF(D8="nt",IFERROR(SMALL(Poles!F:F,K8),""),IF(D8&gt;3000,"",IFERROR(SMALL(Poles!F:F,K8),"")))</f>
        <v>926.17300007000006</v>
      </c>
      <c r="F8" s="97" t="str">
        <f t="shared" si="0"/>
        <v>1D</v>
      </c>
      <c r="G8" s="104" t="str">
        <f t="shared" si="1"/>
        <v/>
      </c>
      <c r="J8" s="141" t="s">
        <v>249</v>
      </c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2</v>
      </c>
      <c r="B9" s="95" t="str">
        <f>IFERROR(IF(INDEX(Poles!$A:$F,MATCH('Poles Results'!$E9,Poles!$F:$F,0),2)&gt;0,INDEX(Poles!$A:$F,MATCH('Poles Results'!$E9,Poles!$F:$F,0),2),""),"")</f>
        <v>Kara Martin</v>
      </c>
      <c r="C9" s="95" t="str">
        <f>IFERROR(IF(INDEX(Poles!$A:$F,MATCH('Poles Results'!E9,Poles!$F:$F,0),3)&gt;0,INDEX(Poles!$A:$F,MATCH('Poles Results'!E9,Poles!$F:$F,0),3),""),"")</f>
        <v>Fame</v>
      </c>
      <c r="D9" s="96">
        <f>IFERROR(IF(AND(SMALL(Poles!F:F,K9)&gt;1000,SMALL(Poles!F:F,K9)&lt;3000),"nt",IF(SMALL(Poles!F:F,K9)&gt;3000,"",SMALL(Poles!F:F,K9))),"")</f>
        <v>927.81900001999998</v>
      </c>
      <c r="E9" s="132">
        <f>IF(D9="nt",IFERROR(SMALL(Poles!F:F,K9),""),IF(D9&gt;3000,"",IFERROR(SMALL(Poles!F:F,K9),"")))</f>
        <v>927.81900001999998</v>
      </c>
      <c r="F9" s="97" t="str">
        <f t="shared" si="0"/>
        <v>1D</v>
      </c>
      <c r="G9" s="104" t="str">
        <f t="shared" si="1"/>
        <v/>
      </c>
      <c r="J9" s="141"/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1</v>
      </c>
      <c r="B10" s="95" t="str">
        <f>IFERROR(IF(INDEX(Poles!$A:$F,MATCH('Poles Results'!$E10,Poles!$F:$F,0),2)&gt;0,INDEX(Poles!$A:$F,MATCH('Poles Results'!$E10,Poles!$F:$F,0),2),""),"")</f>
        <v>Kaitilynn Jorgensen</v>
      </c>
      <c r="C10" s="95" t="str">
        <f>IFERROR(IF(INDEX(Poles!$A:$F,MATCH('Poles Results'!E10,Poles!$F:$F,0),3)&gt;0,INDEX(Poles!$A:$F,MATCH('Poles Results'!E10,Poles!$F:$F,0),3),""),"")</f>
        <v xml:space="preserve">Kitty Dun It </v>
      </c>
      <c r="D10" s="96" t="str">
        <f>IFERROR(IF(AND(SMALL(Poles!F:F,K10)&gt;1000,SMALL(Poles!F:F,K10)&lt;3000),"nt",IF(SMALL(Poles!F:F,K10)&gt;3000,"",SMALL(Poles!F:F,K10))),"")</f>
        <v>nt</v>
      </c>
      <c r="E10" s="132">
        <f>IF(D10="nt",IFERROR(SMALL(Poles!F:F,K10),""),IF(D10&gt;3000,"",IFERROR(SMALL(Poles!F:F,K10),"")))</f>
        <v>1000.00000001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8</v>
      </c>
      <c r="B11" s="95" t="str">
        <f>IFERROR(IF(INDEX(Poles!$A:$F,MATCH('Poles Results'!$E11,Poles!$F:$F,0),2)&gt;0,INDEX(Poles!$A:$F,MATCH('Poles Results'!$E11,Poles!$F:$F,0),2),""),"")</f>
        <v>Lily Foss</v>
      </c>
      <c r="C11" s="95" t="str">
        <f>IFERROR(IF(INDEX(Poles!$A:$F,MATCH('Poles Results'!E11,Poles!$F:$F,0),3)&gt;0,INDEX(Poles!$A:$F,MATCH('Poles Results'!E11,Poles!$F:$F,0),3),""),"")</f>
        <v>Horse 1</v>
      </c>
      <c r="D11" s="96" t="str">
        <f>IFERROR(IF(AND(SMALL(Poles!F:F,K11)&gt;1000,SMALL(Poles!F:F,K11)&lt;3000),"nt",IF(SMALL(Poles!F:F,K11)&gt;3000,"",SMALL(Poles!F:F,K11))),"")</f>
        <v>nt</v>
      </c>
      <c r="E11" s="132">
        <f>IF(D11="nt",IFERROR(SMALL(Poles!F:F,K11),""),IF(D11&gt;3000,"",IFERROR(SMALL(Poles!F:F,K11),"")))</f>
        <v>1000.00000009</v>
      </c>
      <c r="F11" s="97" t="str">
        <f t="shared" si="0"/>
        <v>3D</v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27"/>
  <sheetViews>
    <sheetView zoomScale="90" zoomScaleNormal="90" workbookViewId="0">
      <selection activeCell="D6" sqref="D6"/>
    </sheetView>
  </sheetViews>
  <sheetFormatPr defaultRowHeight="15"/>
  <cols>
    <col min="2" max="2" width="17.42578125" bestFit="1" customWidth="1"/>
    <col min="3" max="3" width="14.7109375" bestFit="1" customWidth="1"/>
    <col min="4" max="4" width="16.28515625" customWidth="1"/>
    <col min="9" max="9" width="18.85546875" customWidth="1"/>
  </cols>
  <sheetData>
    <row r="1" spans="1:10">
      <c r="A1" s="226" t="s">
        <v>91</v>
      </c>
      <c r="B1" s="226" t="s">
        <v>92</v>
      </c>
      <c r="C1" s="226" t="s">
        <v>93</v>
      </c>
      <c r="D1" s="226" t="s">
        <v>94</v>
      </c>
      <c r="I1" s="227" t="s">
        <v>95</v>
      </c>
    </row>
    <row r="2" spans="1:10">
      <c r="A2">
        <v>1</v>
      </c>
      <c r="B2" t="s">
        <v>104</v>
      </c>
      <c r="C2" t="s">
        <v>104</v>
      </c>
      <c r="D2" t="s">
        <v>100</v>
      </c>
      <c r="I2" s="1" t="s">
        <v>104</v>
      </c>
      <c r="J2">
        <v>4</v>
      </c>
    </row>
    <row r="3" spans="1:10">
      <c r="A3">
        <v>2</v>
      </c>
      <c r="B3" t="s">
        <v>101</v>
      </c>
      <c r="C3" t="s">
        <v>101</v>
      </c>
      <c r="D3" t="s">
        <v>101</v>
      </c>
      <c r="I3" s="1" t="s">
        <v>100</v>
      </c>
      <c r="J3">
        <v>2</v>
      </c>
    </row>
    <row r="4" spans="1:10">
      <c r="A4">
        <v>3</v>
      </c>
      <c r="B4" t="s">
        <v>110</v>
      </c>
      <c r="C4" t="s">
        <v>97</v>
      </c>
      <c r="D4" t="s">
        <v>99</v>
      </c>
      <c r="I4" s="1" t="s">
        <v>101</v>
      </c>
      <c r="J4">
        <v>1</v>
      </c>
    </row>
    <row r="5" spans="1:10">
      <c r="A5">
        <v>4</v>
      </c>
      <c r="B5" t="s">
        <v>219</v>
      </c>
      <c r="C5" t="s">
        <v>102</v>
      </c>
      <c r="D5" t="s">
        <v>105</v>
      </c>
      <c r="I5" s="1" t="s">
        <v>99</v>
      </c>
      <c r="J5">
        <v>1</v>
      </c>
    </row>
    <row r="6" spans="1:10">
      <c r="A6">
        <v>5</v>
      </c>
      <c r="B6" t="s">
        <v>109</v>
      </c>
      <c r="D6" t="s">
        <v>97</v>
      </c>
      <c r="I6" s="1" t="s">
        <v>97</v>
      </c>
      <c r="J6">
        <v>1</v>
      </c>
    </row>
    <row r="7" spans="1:10">
      <c r="A7">
        <v>6</v>
      </c>
      <c r="C7" t="s">
        <v>110</v>
      </c>
      <c r="D7" t="s">
        <v>106</v>
      </c>
      <c r="I7" s="1" t="s">
        <v>112</v>
      </c>
      <c r="J7">
        <v>1</v>
      </c>
    </row>
    <row r="8" spans="1:10">
      <c r="A8">
        <v>7</v>
      </c>
      <c r="C8" t="s">
        <v>111</v>
      </c>
      <c r="D8" t="s">
        <v>102</v>
      </c>
      <c r="I8" s="1" t="s">
        <v>102</v>
      </c>
      <c r="J8">
        <v>2</v>
      </c>
    </row>
    <row r="9" spans="1:10">
      <c r="A9">
        <v>8</v>
      </c>
      <c r="D9" t="s">
        <v>108</v>
      </c>
      <c r="I9" s="1" t="s">
        <v>107</v>
      </c>
      <c r="J9">
        <v>2</v>
      </c>
    </row>
    <row r="10" spans="1:10">
      <c r="A10">
        <v>9</v>
      </c>
      <c r="C10" t="s">
        <v>114</v>
      </c>
      <c r="D10" t="s">
        <v>103</v>
      </c>
      <c r="I10" s="1" t="s">
        <v>113</v>
      </c>
      <c r="J10">
        <v>1</v>
      </c>
    </row>
    <row r="11" spans="1:10">
      <c r="A11">
        <v>10</v>
      </c>
      <c r="C11" t="s">
        <v>118</v>
      </c>
      <c r="D11" t="s">
        <v>109</v>
      </c>
      <c r="I11" s="1" t="s">
        <v>108</v>
      </c>
      <c r="J11">
        <v>2</v>
      </c>
    </row>
    <row r="12" spans="1:10">
      <c r="A12">
        <v>11</v>
      </c>
      <c r="C12" t="s">
        <v>222</v>
      </c>
      <c r="D12" t="s">
        <v>115</v>
      </c>
      <c r="I12" s="1" t="s">
        <v>103</v>
      </c>
      <c r="J12">
        <v>1</v>
      </c>
    </row>
    <row r="13" spans="1:10">
      <c r="A13">
        <v>12</v>
      </c>
      <c r="D13" t="s">
        <v>116</v>
      </c>
      <c r="I13" s="1" t="s">
        <v>109</v>
      </c>
      <c r="J13">
        <v>4</v>
      </c>
    </row>
    <row r="14" spans="1:10">
      <c r="A14">
        <v>13</v>
      </c>
      <c r="D14" t="s">
        <v>117</v>
      </c>
      <c r="I14" s="1" t="s">
        <v>113</v>
      </c>
      <c r="J14">
        <v>1</v>
      </c>
    </row>
    <row r="15" spans="1:10">
      <c r="A15">
        <v>14</v>
      </c>
      <c r="I15" s="1" t="s">
        <v>119</v>
      </c>
      <c r="J15">
        <v>2</v>
      </c>
    </row>
    <row r="16" spans="1:10">
      <c r="A16">
        <v>15</v>
      </c>
      <c r="I16" s="1" t="s">
        <v>120</v>
      </c>
      <c r="J16">
        <v>2</v>
      </c>
    </row>
    <row r="17" spans="9:10">
      <c r="I17" s="1" t="s">
        <v>121</v>
      </c>
      <c r="J17">
        <v>2</v>
      </c>
    </row>
    <row r="18" spans="9:10">
      <c r="I18" s="1" t="s">
        <v>122</v>
      </c>
      <c r="J18">
        <v>1</v>
      </c>
    </row>
    <row r="19" spans="9:10">
      <c r="I19" s="1" t="s">
        <v>195</v>
      </c>
      <c r="J19">
        <v>2</v>
      </c>
    </row>
    <row r="20" spans="9:10">
      <c r="I20" s="1" t="s">
        <v>201</v>
      </c>
      <c r="J20">
        <v>3</v>
      </c>
    </row>
    <row r="21" spans="9:10">
      <c r="I21" s="1" t="s">
        <v>209</v>
      </c>
      <c r="J21">
        <v>3</v>
      </c>
    </row>
    <row r="22" spans="9:10">
      <c r="I22" s="1" t="s">
        <v>211</v>
      </c>
      <c r="J22">
        <v>4</v>
      </c>
    </row>
    <row r="23" spans="9:10">
      <c r="I23" s="1" t="s">
        <v>117</v>
      </c>
      <c r="J23">
        <v>2</v>
      </c>
    </row>
    <row r="24" spans="9:10">
      <c r="I24" s="1"/>
    </row>
    <row r="25" spans="9:10">
      <c r="I25" s="1"/>
    </row>
    <row r="26" spans="9:10">
      <c r="I26" s="1" t="s">
        <v>96</v>
      </c>
      <c r="J26" s="228">
        <f>SUM(J2:J25)</f>
        <v>44</v>
      </c>
    </row>
    <row r="27" spans="9:10">
      <c r="I27" s="1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1000.00000001</v>
      </c>
      <c r="E2" s="18"/>
    </row>
    <row r="3" spans="1:23">
      <c r="A3" s="3" t="str">
        <f>IFERROR(VLOOKUP(Poles!F3,$F$3:$G$5,2,TRUE),"")</f>
        <v>3D</v>
      </c>
      <c r="B3" s="8" t="str">
        <f>IFERROR(IF(A3=$B$1,Poles!F3,""),"")</f>
        <v/>
      </c>
      <c r="C3" s="8" t="str">
        <f>IFERROR(IF(A3=$C$1,Poles!F3,""),"")</f>
        <v/>
      </c>
      <c r="D3" s="8">
        <f>IFERROR(IF(A3=$D$1,Poles!F3,""),"")</f>
        <v>927.81900001999998</v>
      </c>
      <c r="E3" s="18"/>
      <c r="F3" s="9">
        <f>MIN(Poles!D:D)</f>
        <v>22.724</v>
      </c>
      <c r="G3" s="12" t="s">
        <v>3</v>
      </c>
      <c r="H3" s="72"/>
    </row>
    <row r="4" spans="1:23">
      <c r="A4" s="3" t="str">
        <f>IFERROR(VLOOKUP(Poles!F4,$F$3:$G$5,2,TRUE),"")</f>
        <v>1D</v>
      </c>
      <c r="B4" s="8">
        <f>IFERROR(IF(A4=$B$1,Poles!F4,""),"")</f>
        <v>22.941000029999998</v>
      </c>
      <c r="C4" s="8" t="str">
        <f>IFERROR(IF(A4=$C$1,Poles!F4,""),"")</f>
        <v/>
      </c>
      <c r="D4" s="8" t="str">
        <f>IFERROR(IF(A4=$D$1,Poles!F4,""),"")</f>
        <v/>
      </c>
      <c r="E4" s="18"/>
      <c r="F4" s="10">
        <f>(F3+2)</f>
        <v>24.724</v>
      </c>
      <c r="G4" s="13" t="s">
        <v>4</v>
      </c>
      <c r="H4" s="72"/>
    </row>
    <row r="5" spans="1:23" ht="16.5" thickBot="1">
      <c r="A5" s="3" t="str">
        <f>IFERROR(VLOOKUP(Poles!F5,$F$3:$G$5,2,TRUE),"")</f>
        <v>1D</v>
      </c>
      <c r="B5" s="8">
        <f>IFERROR(IF(A5=$B$1,Poles!F5,""),"")</f>
        <v>22.72400004</v>
      </c>
      <c r="C5" s="8" t="str">
        <f>IFERROR(IF(A5=$C$1,Poles!F5,""),"")</f>
        <v/>
      </c>
      <c r="D5" s="8" t="str">
        <f>IFERROR(IF(A5=$D$1,Poles!F5,""),"")</f>
        <v/>
      </c>
      <c r="E5" s="18"/>
      <c r="F5" s="11">
        <f>(F4+2)</f>
        <v>26.724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1D</v>
      </c>
      <c r="B6" s="8">
        <f>IFERROR(IF(A6=$B$1,Poles!F6,""),"")</f>
        <v>22.893000050000001</v>
      </c>
      <c r="C6" s="8" t="str">
        <f>IFERROR(IF(A6=$C$1,Poles!F6,""),"")</f>
        <v/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100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60</v>
      </c>
      <c r="V7" s="177">
        <f t="shared" si="0"/>
        <v>40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926.17300007000006</v>
      </c>
      <c r="E8" s="18"/>
      <c r="F8" s="283" t="s">
        <v>3</v>
      </c>
      <c r="G8" s="73" t="str">
        <f>IF(H8="-","-","1st")</f>
        <v>1st</v>
      </c>
      <c r="H8" s="73" t="str">
        <f>IFERROR(INDEX(Poles!$B:$F,MATCH(J8,Poles!$F:$F,0),1),"-")</f>
        <v>Kendall Gillen</v>
      </c>
      <c r="I8" s="73" t="str">
        <f>IFERROR(INDEX(Poles!$B:$F,MATCH(J8,Poles!$F:$F,0),2),"-")</f>
        <v>Blue Eyes</v>
      </c>
      <c r="J8" s="8">
        <f>IFERROR(SMALL($B$2:$B$300,L8),"-")</f>
        <v>22.72400004</v>
      </c>
      <c r="K8" s="178">
        <f>IF(T7&gt;0,T7,"")</f>
        <v>100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3D</v>
      </c>
      <c r="B9" s="8" t="str">
        <f>IFERROR(IF(A9=$B$1,Poles!F9,""),"")</f>
        <v/>
      </c>
      <c r="C9" s="8" t="str">
        <f>IFERROR(IF(A9=$C$1,Poles!F9,""),"")</f>
        <v/>
      </c>
      <c r="D9" s="8">
        <f>IFERROR(IF(A9=$D$1,Poles!F9,""),"")</f>
        <v>924.09400008</v>
      </c>
      <c r="E9" s="18"/>
      <c r="F9" s="269"/>
      <c r="G9" s="19" t="str">
        <f>IF(H9="-","-","2nd")</f>
        <v>2nd</v>
      </c>
      <c r="H9" s="73" t="str">
        <f>IFERROR(INDEX(Poles!$B:$F,MATCH(J9,Poles!$F:$F,0),1),"-")</f>
        <v>Andrea Hansen</v>
      </c>
      <c r="I9" s="73" t="str">
        <f>IFERROR(INDEX(Poles!$B:$F,MATCH(J9,Poles!$F:$F,0),2),"-")</f>
        <v>Betty</v>
      </c>
      <c r="J9" s="8">
        <f>IFERROR(SMALL($B$2:$B$300,L9),"-")</f>
        <v>22.893000050000001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1000.00000009</v>
      </c>
      <c r="E10" s="18"/>
      <c r="F10" s="269"/>
      <c r="G10" s="19" t="str">
        <f>IF(H10="-","-","3rd")</f>
        <v>3rd</v>
      </c>
      <c r="H10" s="73" t="str">
        <f>IFERROR(INDEX(Poles!$B:$F,MATCH(J10,Poles!$F:$F,0),1),"-")</f>
        <v>Kayla Pappendick</v>
      </c>
      <c r="I10" s="73" t="str">
        <f>IFERROR(INDEX(Poles!$B:$F,MATCH(J10,Poles!$F:$F,0),2),"-")</f>
        <v>Buddy</v>
      </c>
      <c r="J10" s="8">
        <f>IFERROR(SMALL($B$2:$B$300,L10),"-")</f>
        <v>22.941000029999998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1D</v>
      </c>
      <c r="B11" s="8">
        <f>IFERROR(IF(A11=$B$1,Poles!F11,""),"")</f>
        <v>23.0310001</v>
      </c>
      <c r="C11" s="8" t="str">
        <f>IFERROR(IF(A11=$C$1,Poles!F11,""),"")</f>
        <v/>
      </c>
      <c r="D11" s="8" t="str">
        <f>IFERROR(IF(A11=$D$1,Poles!F11,""),"")</f>
        <v/>
      </c>
      <c r="E11" s="18"/>
      <c r="F11" s="269"/>
      <c r="G11" s="19" t="str">
        <f>IF(H11="-","-","4th")</f>
        <v>4th</v>
      </c>
      <c r="H11" s="73" t="str">
        <f>IFERROR(INDEX(Poles!$B:$F,MATCH(J11,Poles!$F:$F,0),1),"-")</f>
        <v>Makayla Cross</v>
      </c>
      <c r="I11" s="73" t="str">
        <f>IFERROR(INDEX(Poles!$B:$F,MATCH(J11,Poles!$F:$F,0),2),"-")</f>
        <v>Kix</v>
      </c>
      <c r="J11" s="8">
        <f>IFERROR(SMALL($B$2:$B$300,L11),"-")</f>
        <v>23.0310001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>3D</v>
      </c>
      <c r="B12" s="8" t="str">
        <f>IFERROR(IF(A12=$B$1,Poles!F12,""),"")</f>
        <v/>
      </c>
      <c r="C12" s="8" t="str">
        <f>IFERROR(IF(A12=$C$1,Poles!F12,""),"")</f>
        <v/>
      </c>
      <c r="D12" s="8">
        <f>IFERROR(IF(A12=$D$1,Poles!F12,""),"")</f>
        <v>922.98500010999999</v>
      </c>
      <c r="E12" s="18"/>
      <c r="F12" s="269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100</v>
      </c>
      <c r="U12" s="176">
        <f>U5*$R$15</f>
        <v>60</v>
      </c>
      <c r="V12" s="176">
        <f>V5*$R$15</f>
        <v>40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70" t="s">
        <v>75</v>
      </c>
      <c r="P13" s="270"/>
      <c r="Q13" s="270"/>
      <c r="R13" s="21">
        <f>Poles!J9</f>
        <v>10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9" t="s">
        <v>4</v>
      </c>
      <c r="G14" s="19" t="str">
        <f>IF(H14="-","-","1st")</f>
        <v>-</v>
      </c>
      <c r="H14" s="19" t="str">
        <f>IFERROR(INDEX(Poles!B:F,MATCH(J14,Poles!F:F,0),1),"-")</f>
        <v>-</v>
      </c>
      <c r="I14" s="19" t="str">
        <f>IFERROR(INDEX(Poles!B:F,MATCH(J14,Poles!F:F,0),2),"-")</f>
        <v>-</v>
      </c>
      <c r="J14" s="4" t="str">
        <f>IFERROR(SMALL($C$2:$C$300,L14),"-")</f>
        <v>-</v>
      </c>
      <c r="K14" s="179">
        <f>IF(U7&gt;0,U7,"")</f>
        <v>60</v>
      </c>
      <c r="L14">
        <v>1</v>
      </c>
      <c r="O14" s="270" t="s">
        <v>76</v>
      </c>
      <c r="P14" s="270"/>
      <c r="Q14" s="270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9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70" t="s">
        <v>78</v>
      </c>
      <c r="P15" s="270"/>
      <c r="Q15" s="270"/>
      <c r="R15" s="176">
        <f>(R13*R14)+Poles!J3</f>
        <v>200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9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70" t="s">
        <v>10</v>
      </c>
      <c r="P16" s="270"/>
      <c r="Q16" s="270"/>
      <c r="R16" s="176">
        <f>R15*W5</f>
        <v>200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9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9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9" t="s">
        <v>5</v>
      </c>
      <c r="G20" s="19" t="str">
        <f>IF(H20="-","-","1st")</f>
        <v>-</v>
      </c>
      <c r="H20" s="19" t="str">
        <f>IFERROR(INDEX(Poles!B:F,MATCH(J20,Poles!F:F,0),1),"-")</f>
        <v>-</v>
      </c>
      <c r="I20" s="19" t="str">
        <f>IFERROR(INDEX(Poles!B:F,MATCH(J20,Poles!F:F,0),2),"-")</f>
        <v>-</v>
      </c>
      <c r="J20" s="78" t="str">
        <f>IFERROR(IF(SMALL($D$2:$D$300,L20)&lt;900,SMALL($D$2:$D$300,L20),"-"),"-")</f>
        <v>-</v>
      </c>
      <c r="K20" s="179">
        <f>IF(V7&gt;0,V7,"")</f>
        <v>40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9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9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9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4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zoomScale="70" zoomScaleNormal="70" workbookViewId="0">
      <pane ySplit="2" topLeftCell="A3" activePane="bottomLeft" state="frozen"/>
      <selection pane="bottomLeft" activeCell="F80" sqref="F80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52" t="s">
        <v>7</v>
      </c>
      <c r="B1" s="253"/>
      <c r="C1" s="253"/>
      <c r="D1" s="253"/>
      <c r="E1" s="253"/>
      <c r="F1" s="254"/>
      <c r="G1" s="248" t="s">
        <v>19</v>
      </c>
      <c r="H1" s="250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9"/>
      <c r="H2" s="251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47</v>
      </c>
      <c r="D3" s="122"/>
      <c r="E3" s="122"/>
      <c r="F3" s="206"/>
      <c r="G3" s="129" t="s">
        <v>104</v>
      </c>
      <c r="H3" s="130" t="s">
        <v>123</v>
      </c>
      <c r="I3" s="21">
        <v>1.0000000000000001E-9</v>
      </c>
      <c r="J3" s="21">
        <f>IF(C3="yco",1000+I3,IF((C3+$I3)&lt;1,"",C3+$I3))</f>
        <v>47.000000000999997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Olivia SelleckTresTimesTheDynamite</v>
      </c>
    </row>
    <row r="4" spans="1:26" ht="15.75" customHeight="1">
      <c r="A4" s="38"/>
      <c r="B4" s="120"/>
      <c r="C4" s="120">
        <v>12</v>
      </c>
      <c r="D4" s="120"/>
      <c r="E4" s="120"/>
      <c r="F4" s="123"/>
      <c r="G4" s="110" t="s">
        <v>104</v>
      </c>
      <c r="H4" s="39" t="s">
        <v>124</v>
      </c>
      <c r="I4" s="21">
        <v>2.0000000000000001E-9</v>
      </c>
      <c r="J4" s="21">
        <f>IF(C4="yco",1000+I4,IF((C4+$I4)&lt;1,"",C4+$I4))</f>
        <v>12.000000002</v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Olivia SelleckMMT Rebel In Motion</v>
      </c>
    </row>
    <row r="5" spans="1:26" ht="16.5" thickBot="1">
      <c r="A5" s="38"/>
      <c r="B5" s="120"/>
      <c r="C5" s="120">
        <v>30</v>
      </c>
      <c r="D5" s="120"/>
      <c r="E5" s="120"/>
      <c r="F5" s="123"/>
      <c r="G5" s="110" t="s">
        <v>125</v>
      </c>
      <c r="H5" s="39" t="s">
        <v>126</v>
      </c>
      <c r="I5" s="21">
        <v>3E-9</v>
      </c>
      <c r="J5" s="21">
        <f>IF(C5="yco",1000+I5,IF((C5+$I5)&lt;1,"",C5+$I5))</f>
        <v>30.000000003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Kayleigh MarasMayor Perks</v>
      </c>
    </row>
    <row r="6" spans="1:26" ht="15.75" customHeight="1">
      <c r="A6" s="38"/>
      <c r="B6" s="120" t="s">
        <v>189</v>
      </c>
      <c r="C6" s="120">
        <v>29</v>
      </c>
      <c r="D6" s="120" t="s">
        <v>189</v>
      </c>
      <c r="E6" s="120">
        <v>29</v>
      </c>
      <c r="F6" s="123">
        <v>29</v>
      </c>
      <c r="G6" s="110" t="s">
        <v>100</v>
      </c>
      <c r="H6" s="39" t="s">
        <v>127</v>
      </c>
      <c r="I6" s="21">
        <v>4.0000000000000002E-9</v>
      </c>
      <c r="J6" s="213">
        <f>IF(C6="yco",1000+I6,IF((C6+$I6)&lt;1,"",C6+$I6))</f>
        <v>29.000000004</v>
      </c>
      <c r="K6" s="21">
        <f t="shared" si="1"/>
        <v>29.000000004</v>
      </c>
      <c r="L6" s="21">
        <f t="shared" si="2"/>
        <v>29.000000004</v>
      </c>
      <c r="M6" s="127">
        <f t="shared" si="3"/>
        <v>2000.000000004</v>
      </c>
      <c r="N6" s="127" t="str">
        <f t="shared" si="0"/>
        <v/>
      </c>
      <c r="O6" s="127">
        <f t="shared" si="4"/>
        <v>2000.000000004</v>
      </c>
      <c r="P6" s="205" t="str">
        <f t="shared" si="5"/>
        <v/>
      </c>
      <c r="R6" s="242" t="s">
        <v>81</v>
      </c>
      <c r="S6" s="255"/>
      <c r="T6" s="255"/>
      <c r="U6" s="255"/>
      <c r="V6" s="256"/>
      <c r="Z6" s="21" t="str">
        <f t="shared" si="6"/>
        <v>Autumn MaxfieldSplit</v>
      </c>
    </row>
    <row r="7" spans="1:26" ht="16.5" thickBot="1">
      <c r="A7" s="38"/>
      <c r="B7" s="207"/>
      <c r="C7" s="120">
        <v>10</v>
      </c>
      <c r="D7" s="120"/>
      <c r="E7" s="120"/>
      <c r="F7" s="123"/>
      <c r="G7" s="110" t="s">
        <v>128</v>
      </c>
      <c r="H7" s="39" t="s">
        <v>129</v>
      </c>
      <c r="I7" s="21">
        <v>5.0000000000000001E-9</v>
      </c>
      <c r="J7" s="21">
        <f t="shared" ref="J7:J68" si="7">IF(C7="yco",1000+I7,IF((C7+$I7)&lt;1,"",C7+$I7))</f>
        <v>10.000000005</v>
      </c>
      <c r="K7" s="21" t="str">
        <f t="shared" si="1"/>
        <v/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7"/>
      <c r="S7" s="258"/>
      <c r="T7" s="258"/>
      <c r="U7" s="258"/>
      <c r="V7" s="259"/>
      <c r="Z7" s="21" t="str">
        <f t="shared" si="6"/>
        <v>Mike BoomgardenRook</v>
      </c>
    </row>
    <row r="8" spans="1:26" ht="15.75" customHeight="1">
      <c r="A8" s="38"/>
      <c r="B8" s="120"/>
      <c r="C8" s="120">
        <v>46</v>
      </c>
      <c r="D8" s="120"/>
      <c r="E8" s="120"/>
      <c r="F8" s="123"/>
      <c r="G8" s="110" t="s">
        <v>128</v>
      </c>
      <c r="H8" s="39" t="s">
        <v>130</v>
      </c>
      <c r="I8" s="21">
        <v>6E-9</v>
      </c>
      <c r="J8" s="21">
        <f t="shared" si="7"/>
        <v>46.000000006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42" t="s">
        <v>87</v>
      </c>
      <c r="S8" s="243"/>
      <c r="T8" s="243"/>
      <c r="U8" s="243"/>
      <c r="V8" s="244"/>
      <c r="Z8" s="21" t="str">
        <f t="shared" si="6"/>
        <v>Mike BoomgardenPeanut</v>
      </c>
    </row>
    <row r="9" spans="1:26" ht="16.5" thickBot="1">
      <c r="A9" s="38"/>
      <c r="B9" s="120"/>
      <c r="C9" s="120">
        <v>41</v>
      </c>
      <c r="D9" s="120"/>
      <c r="E9" s="120"/>
      <c r="F9" s="123"/>
      <c r="G9" s="110" t="s">
        <v>131</v>
      </c>
      <c r="H9" s="39" t="s">
        <v>132</v>
      </c>
      <c r="I9" s="21">
        <v>6.9999999999999998E-9</v>
      </c>
      <c r="J9" s="21">
        <f t="shared" si="7"/>
        <v>41.000000006999997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5"/>
      <c r="S9" s="246"/>
      <c r="T9" s="246"/>
      <c r="U9" s="246"/>
      <c r="V9" s="247"/>
      <c r="Z9" s="21" t="str">
        <f t="shared" si="6"/>
        <v>Anne AmmotHattie</v>
      </c>
    </row>
    <row r="10" spans="1:26">
      <c r="A10" s="38"/>
      <c r="B10" s="120" t="s">
        <v>188</v>
      </c>
      <c r="C10" s="120">
        <v>28</v>
      </c>
      <c r="D10" s="120"/>
      <c r="E10" s="120"/>
      <c r="F10" s="123"/>
      <c r="G10" s="110" t="s">
        <v>133</v>
      </c>
      <c r="H10" s="39" t="s">
        <v>134</v>
      </c>
      <c r="I10" s="21">
        <v>8.0000000000000005E-9</v>
      </c>
      <c r="J10" s="21">
        <f t="shared" si="7"/>
        <v>28.000000008000001</v>
      </c>
      <c r="K10" s="21" t="str">
        <f t="shared" si="1"/>
        <v/>
      </c>
      <c r="L10" s="21" t="str">
        <f t="shared" si="2"/>
        <v/>
      </c>
      <c r="M10" s="127">
        <f t="shared" si="3"/>
        <v>1000.000000008</v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42" t="s">
        <v>89</v>
      </c>
      <c r="S10" s="243"/>
      <c r="T10" s="243"/>
      <c r="U10" s="243"/>
      <c r="V10" s="244"/>
      <c r="Z10" s="21" t="str">
        <f t="shared" si="6"/>
        <v>Candice AamotStreaker</v>
      </c>
    </row>
    <row r="11" spans="1:26" ht="16.5" thickBot="1">
      <c r="A11" s="38"/>
      <c r="B11" s="120" t="s">
        <v>189</v>
      </c>
      <c r="C11" s="120">
        <v>24</v>
      </c>
      <c r="D11" s="120" t="s">
        <v>189</v>
      </c>
      <c r="E11" s="120">
        <v>24</v>
      </c>
      <c r="F11" s="123"/>
      <c r="G11" s="110" t="s">
        <v>99</v>
      </c>
      <c r="H11" s="39" t="s">
        <v>135</v>
      </c>
      <c r="I11" s="21">
        <v>8.9999999999999995E-9</v>
      </c>
      <c r="J11" s="21">
        <f t="shared" si="7"/>
        <v>24.000000009000001</v>
      </c>
      <c r="K11" s="21">
        <f t="shared" si="1"/>
        <v>24.000000009000001</v>
      </c>
      <c r="L11" s="21" t="str">
        <f t="shared" si="2"/>
        <v/>
      </c>
      <c r="M11" s="127">
        <f t="shared" si="3"/>
        <v>2000.0000000089999</v>
      </c>
      <c r="N11" s="127" t="str">
        <f t="shared" si="0"/>
        <v/>
      </c>
      <c r="O11" s="127">
        <f t="shared" si="4"/>
        <v>2000.0000000089999</v>
      </c>
      <c r="P11" s="205" t="str">
        <f t="shared" si="5"/>
        <v/>
      </c>
      <c r="R11" s="245"/>
      <c r="S11" s="246"/>
      <c r="T11" s="246"/>
      <c r="U11" s="246"/>
      <c r="V11" s="247"/>
      <c r="Z11" s="21" t="str">
        <f t="shared" si="6"/>
        <v>Sierra BergHoudini</v>
      </c>
    </row>
    <row r="12" spans="1:26" ht="15.75" customHeight="1">
      <c r="A12" s="38"/>
      <c r="B12" s="120"/>
      <c r="C12" s="121">
        <v>11</v>
      </c>
      <c r="D12" s="121"/>
      <c r="E12" s="121"/>
      <c r="F12" s="124"/>
      <c r="G12" s="110" t="s">
        <v>115</v>
      </c>
      <c r="H12" s="39" t="s">
        <v>224</v>
      </c>
      <c r="I12" s="21">
        <v>1E-8</v>
      </c>
      <c r="J12" s="21">
        <f t="shared" si="7"/>
        <v>11.000000010000001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Brittany DietersMS Holywood (Anna)</v>
      </c>
    </row>
    <row r="13" spans="1:26">
      <c r="A13" s="38"/>
      <c r="B13" s="120"/>
      <c r="C13" s="120">
        <v>45</v>
      </c>
      <c r="D13" s="120"/>
      <c r="E13" s="120"/>
      <c r="F13" s="123"/>
      <c r="G13" s="110" t="s">
        <v>115</v>
      </c>
      <c r="H13" s="39" t="s">
        <v>225</v>
      </c>
      <c r="I13" s="21">
        <v>1.0999999999999999E-8</v>
      </c>
      <c r="J13" s="21">
        <f t="shared" si="7"/>
        <v>45.000000010999997</v>
      </c>
      <c r="K13" s="21" t="str">
        <f t="shared" si="1"/>
        <v/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Brittany DietersCarl's Bad Cat (Maui)</v>
      </c>
    </row>
    <row r="14" spans="1:26">
      <c r="A14" s="38"/>
      <c r="B14" s="120" t="s">
        <v>188</v>
      </c>
      <c r="C14" s="120">
        <v>44</v>
      </c>
      <c r="D14" s="120" t="s">
        <v>188</v>
      </c>
      <c r="E14" s="120">
        <v>44</v>
      </c>
      <c r="F14" s="123"/>
      <c r="G14" s="110" t="s">
        <v>136</v>
      </c>
      <c r="H14" s="39" t="s">
        <v>137</v>
      </c>
      <c r="I14" s="21">
        <v>1.2E-8</v>
      </c>
      <c r="J14" s="21">
        <f t="shared" si="7"/>
        <v>44.000000012000001</v>
      </c>
      <c r="K14" s="21">
        <f t="shared" si="1"/>
        <v>44.000000012000001</v>
      </c>
      <c r="L14" s="21" t="str">
        <f t="shared" si="2"/>
        <v/>
      </c>
      <c r="M14" s="127">
        <f t="shared" si="3"/>
        <v>1000.000000012</v>
      </c>
      <c r="N14" s="127" t="str">
        <f t="shared" si="0"/>
        <v/>
      </c>
      <c r="O14" s="127">
        <f t="shared" si="4"/>
        <v>1000.000000012</v>
      </c>
      <c r="P14" s="205" t="str">
        <f t="shared" si="5"/>
        <v/>
      </c>
      <c r="R14" s="224" t="s">
        <v>86</v>
      </c>
      <c r="Z14" s="21" t="str">
        <f t="shared" si="6"/>
        <v>Megan RosendahlA Dash of Jerzy Cash</v>
      </c>
    </row>
    <row r="15" spans="1:26">
      <c r="A15" s="38"/>
      <c r="B15" s="120"/>
      <c r="C15" s="120">
        <v>5</v>
      </c>
      <c r="D15" s="120"/>
      <c r="E15" s="120"/>
      <c r="F15" s="123"/>
      <c r="G15" s="110" t="s">
        <v>138</v>
      </c>
      <c r="H15" s="39" t="s">
        <v>139</v>
      </c>
      <c r="I15" s="21">
        <v>1.3000000000000001E-8</v>
      </c>
      <c r="J15" s="21">
        <f t="shared" si="7"/>
        <v>5.0000000130000002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Megan ThorsonRocky Rio Rebel</v>
      </c>
    </row>
    <row r="16" spans="1:26">
      <c r="A16" s="38"/>
      <c r="B16" s="120"/>
      <c r="C16" s="120">
        <v>40</v>
      </c>
      <c r="D16" s="120"/>
      <c r="E16" s="120"/>
      <c r="F16" s="123"/>
      <c r="G16" s="110" t="s">
        <v>138</v>
      </c>
      <c r="H16" s="39" t="s">
        <v>140</v>
      </c>
      <c r="I16" s="21">
        <v>1.4E-8</v>
      </c>
      <c r="J16" s="21">
        <f t="shared" si="7"/>
        <v>40.000000014000001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tr">
        <f t="shared" si="5"/>
        <v/>
      </c>
      <c r="R16" s="222" t="s">
        <v>88</v>
      </c>
      <c r="Z16" s="21" t="str">
        <f t="shared" si="6"/>
        <v>Megan ThorsonMMT Rox My World</v>
      </c>
    </row>
    <row r="17" spans="1:26">
      <c r="A17" s="38"/>
      <c r="B17" s="120"/>
      <c r="C17" s="120">
        <v>39</v>
      </c>
      <c r="D17" s="120"/>
      <c r="E17" s="120" t="s">
        <v>190</v>
      </c>
      <c r="F17" s="123"/>
      <c r="G17" s="110" t="s">
        <v>105</v>
      </c>
      <c r="H17" s="39" t="s">
        <v>141</v>
      </c>
      <c r="I17" s="21">
        <v>1.4999999999999999E-8</v>
      </c>
      <c r="J17" s="21">
        <f t="shared" si="7"/>
        <v>39.000000014999998</v>
      </c>
      <c r="K17" s="21">
        <f t="shared" si="1"/>
        <v>1000.000000015</v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Sara Jo LambLast Chance Fling</v>
      </c>
    </row>
    <row r="18" spans="1:26">
      <c r="A18" s="38"/>
      <c r="B18" s="120"/>
      <c r="C18" s="120">
        <v>9</v>
      </c>
      <c r="D18" s="120"/>
      <c r="E18" s="120"/>
      <c r="F18" s="123"/>
      <c r="G18" s="110" t="s">
        <v>142</v>
      </c>
      <c r="H18" s="39" t="s">
        <v>143</v>
      </c>
      <c r="I18" s="21">
        <v>1.6000000000000001E-8</v>
      </c>
      <c r="J18" s="21">
        <f t="shared" si="7"/>
        <v>9.0000000159999995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 xml:space="preserve">Rachel KeldermanLucy </v>
      </c>
    </row>
    <row r="19" spans="1:26">
      <c r="A19" s="38"/>
      <c r="B19" s="120"/>
      <c r="C19" s="120">
        <v>43</v>
      </c>
      <c r="D19" s="120"/>
      <c r="E19" s="120"/>
      <c r="F19" s="123"/>
      <c r="G19" s="110" t="s">
        <v>142</v>
      </c>
      <c r="H19" s="39" t="s">
        <v>144</v>
      </c>
      <c r="I19" s="21">
        <v>1.7E-8</v>
      </c>
      <c r="J19" s="21">
        <f t="shared" si="7"/>
        <v>43.000000016999998</v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 t="str">
        <f t="shared" si="5"/>
        <v/>
      </c>
      <c r="Z19" s="21" t="str">
        <f t="shared" si="6"/>
        <v>Rachel KeldermanLeo</v>
      </c>
    </row>
    <row r="20" spans="1:26">
      <c r="A20" s="38"/>
      <c r="B20" s="120" t="s">
        <v>188</v>
      </c>
      <c r="C20" s="121">
        <v>4</v>
      </c>
      <c r="D20" s="121" t="s">
        <v>188</v>
      </c>
      <c r="E20" s="121">
        <v>4</v>
      </c>
      <c r="F20" s="124"/>
      <c r="G20" s="110" t="s">
        <v>116</v>
      </c>
      <c r="H20" s="39" t="s">
        <v>168</v>
      </c>
      <c r="I20" s="21">
        <v>1.7999999999999999E-8</v>
      </c>
      <c r="J20" s="21">
        <f t="shared" si="7"/>
        <v>4.0000000179999997</v>
      </c>
      <c r="K20" s="21">
        <f t="shared" si="1"/>
        <v>4.0000000179999997</v>
      </c>
      <c r="L20" s="21" t="str">
        <f t="shared" si="2"/>
        <v/>
      </c>
      <c r="M20" s="127">
        <f t="shared" si="3"/>
        <v>1000.000000018</v>
      </c>
      <c r="N20" s="127" t="str">
        <f t="shared" si="0"/>
        <v/>
      </c>
      <c r="O20" s="127">
        <f t="shared" si="4"/>
        <v>1000.000000018</v>
      </c>
      <c r="P20" s="205" t="str">
        <f t="shared" si="5"/>
        <v/>
      </c>
      <c r="Z20" s="21" t="str">
        <f t="shared" si="6"/>
        <v>Aleah MarcoPremier Passum</v>
      </c>
    </row>
    <row r="21" spans="1:26">
      <c r="A21" s="38"/>
      <c r="B21" s="120"/>
      <c r="C21" s="120"/>
      <c r="D21" s="120"/>
      <c r="E21" s="120"/>
      <c r="F21" s="123">
        <v>55</v>
      </c>
      <c r="G21" s="110" t="s">
        <v>235</v>
      </c>
      <c r="H21" s="39" t="s">
        <v>236</v>
      </c>
      <c r="I21" s="21">
        <v>1.9000000000000001E-8</v>
      </c>
      <c r="J21" s="21" t="str">
        <f t="shared" si="7"/>
        <v/>
      </c>
      <c r="K21" s="21" t="str">
        <f t="shared" si="1"/>
        <v/>
      </c>
      <c r="L21" s="21">
        <f t="shared" si="2"/>
        <v>55.000000018999998</v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>Lily FossHorse 1</v>
      </c>
    </row>
    <row r="22" spans="1:26">
      <c r="A22" s="38"/>
      <c r="B22" s="120"/>
      <c r="C22" s="120">
        <v>23</v>
      </c>
      <c r="D22" s="120"/>
      <c r="E22" s="120"/>
      <c r="F22" s="123"/>
      <c r="G22" s="110" t="s">
        <v>145</v>
      </c>
      <c r="H22" s="39" t="s">
        <v>98</v>
      </c>
      <c r="I22" s="21">
        <v>2E-8</v>
      </c>
      <c r="J22" s="21">
        <f t="shared" si="7"/>
        <v>23.000000020000002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Janice RoebuckHolly</v>
      </c>
    </row>
    <row r="23" spans="1:26">
      <c r="A23" s="38"/>
      <c r="B23" s="120"/>
      <c r="C23" s="120">
        <v>100</v>
      </c>
      <c r="D23" s="120"/>
      <c r="E23" s="120" t="s">
        <v>190</v>
      </c>
      <c r="F23" s="123"/>
      <c r="G23" s="110" t="s">
        <v>112</v>
      </c>
      <c r="H23" s="39" t="s">
        <v>146</v>
      </c>
      <c r="I23" s="21">
        <v>2.0999999999999999E-8</v>
      </c>
      <c r="J23" s="21">
        <f t="shared" si="7"/>
        <v>100.00000002100001</v>
      </c>
      <c r="K23" s="21">
        <f t="shared" si="1"/>
        <v>1000.000000021</v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Nicole VanWellFlirty Ways</v>
      </c>
    </row>
    <row r="24" spans="1:26">
      <c r="A24" s="38"/>
      <c r="B24" s="120"/>
      <c r="C24" s="120">
        <v>1</v>
      </c>
      <c r="D24" s="120"/>
      <c r="E24" s="120"/>
      <c r="F24" s="123"/>
      <c r="G24" s="110" t="s">
        <v>147</v>
      </c>
      <c r="H24" s="39" t="s">
        <v>148</v>
      </c>
      <c r="I24" s="21">
        <v>2.1999999999999998E-8</v>
      </c>
      <c r="J24" s="21">
        <f t="shared" si="7"/>
        <v>1.000000022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Kristine DeBergJessfrostmycake</v>
      </c>
    </row>
    <row r="25" spans="1:26">
      <c r="A25" s="38"/>
      <c r="B25" s="120"/>
      <c r="C25" s="120">
        <v>27</v>
      </c>
      <c r="D25" s="120"/>
      <c r="E25" s="120"/>
      <c r="F25" s="123"/>
      <c r="G25" s="110" t="s">
        <v>147</v>
      </c>
      <c r="H25" s="39" t="s">
        <v>149</v>
      </c>
      <c r="I25" s="21">
        <v>2.3000000000000001E-8</v>
      </c>
      <c r="J25" s="21">
        <f t="shared" si="7"/>
        <v>27.000000022999998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Kristine DeBergStreakinblondelegacy</v>
      </c>
    </row>
    <row r="26" spans="1:26">
      <c r="A26" s="38"/>
      <c r="B26" s="120"/>
      <c r="C26" s="121">
        <v>82</v>
      </c>
      <c r="D26" s="121"/>
      <c r="E26" s="121"/>
      <c r="F26" s="124"/>
      <c r="G26" s="110" t="s">
        <v>147</v>
      </c>
      <c r="H26" s="39" t="s">
        <v>150</v>
      </c>
      <c r="I26" s="21">
        <v>2.4E-8</v>
      </c>
      <c r="J26" s="21">
        <f t="shared" si="7"/>
        <v>82.000000024000002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Kristine DeBergChicks Share of Fame</v>
      </c>
    </row>
    <row r="27" spans="1:26">
      <c r="A27" s="38"/>
      <c r="B27" s="120"/>
      <c r="C27" s="120">
        <v>34</v>
      </c>
      <c r="D27" s="120"/>
      <c r="E27" s="120"/>
      <c r="F27" s="123"/>
      <c r="G27" s="110" t="s">
        <v>233</v>
      </c>
      <c r="H27" s="39" t="s">
        <v>234</v>
      </c>
      <c r="I27" s="21">
        <v>2.4999999999999999E-8</v>
      </c>
      <c r="J27" s="21">
        <f t="shared" si="7"/>
        <v>34.000000024999999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Kamber BosseACSparklinMoonshine</v>
      </c>
    </row>
    <row r="28" spans="1:26">
      <c r="A28" s="38"/>
      <c r="B28" s="120"/>
      <c r="C28" s="121">
        <v>6</v>
      </c>
      <c r="D28" s="121"/>
      <c r="E28" s="121"/>
      <c r="F28" s="124"/>
      <c r="G28" s="110" t="s">
        <v>113</v>
      </c>
      <c r="H28" s="39" t="s">
        <v>152</v>
      </c>
      <c r="I28" s="21">
        <v>2.6000000000000001E-8</v>
      </c>
      <c r="J28" s="21">
        <f t="shared" si="7"/>
        <v>6.0000000260000004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Lily KennyAlive with Trouble ( Soldier)</v>
      </c>
    </row>
    <row r="29" spans="1:26">
      <c r="A29" s="38"/>
      <c r="B29" s="120"/>
      <c r="C29" s="120">
        <v>42</v>
      </c>
      <c r="D29" s="120"/>
      <c r="E29" s="120"/>
      <c r="F29" s="123"/>
      <c r="G29" s="110" t="s">
        <v>113</v>
      </c>
      <c r="H29" s="39" t="s">
        <v>153</v>
      </c>
      <c r="I29" s="21">
        <v>2.7E-8</v>
      </c>
      <c r="J29" s="21">
        <f t="shared" si="7"/>
        <v>42.000000026999999</v>
      </c>
      <c r="K29" s="21" t="str">
        <f t="shared" si="1"/>
        <v/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Lily KennyLanes Golden Money</v>
      </c>
    </row>
    <row r="30" spans="1:26">
      <c r="A30" s="38"/>
      <c r="B30" s="120"/>
      <c r="C30" s="120">
        <v>100</v>
      </c>
      <c r="D30" s="120"/>
      <c r="E30" s="120"/>
      <c r="F30" s="123"/>
      <c r="G30" s="110" t="s">
        <v>154</v>
      </c>
      <c r="H30" s="39" t="s">
        <v>155</v>
      </c>
      <c r="I30" s="21">
        <v>2.7999999999999999E-8</v>
      </c>
      <c r="J30" s="21">
        <f t="shared" si="7"/>
        <v>100.000000028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Carrie DietersA Guy With Fame</v>
      </c>
    </row>
    <row r="31" spans="1:26">
      <c r="A31" s="38"/>
      <c r="B31" s="120"/>
      <c r="C31" s="120">
        <v>21</v>
      </c>
      <c r="D31" s="120"/>
      <c r="E31" s="120">
        <v>21</v>
      </c>
      <c r="F31" s="123"/>
      <c r="G31" s="110" t="s">
        <v>108</v>
      </c>
      <c r="H31" s="39" t="s">
        <v>156</v>
      </c>
      <c r="I31" s="21">
        <v>2.9000000000000002E-8</v>
      </c>
      <c r="J31" s="21">
        <f t="shared" si="7"/>
        <v>21.000000028999999</v>
      </c>
      <c r="K31" s="21">
        <f t="shared" si="1"/>
        <v>21.000000028999999</v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Denise BenneyCheyenne</v>
      </c>
    </row>
    <row r="32" spans="1:26">
      <c r="A32" s="38"/>
      <c r="B32" s="120" t="s">
        <v>188</v>
      </c>
      <c r="C32" s="120">
        <v>1</v>
      </c>
      <c r="D32" s="120"/>
      <c r="E32" s="120"/>
      <c r="F32" s="123"/>
      <c r="G32" s="110" t="s">
        <v>103</v>
      </c>
      <c r="H32" s="39" t="s">
        <v>157</v>
      </c>
      <c r="I32" s="21">
        <v>2.9999999999999997E-8</v>
      </c>
      <c r="J32" s="21">
        <f t="shared" si="7"/>
        <v>1.00000003</v>
      </c>
      <c r="K32" s="21" t="str">
        <f t="shared" si="1"/>
        <v/>
      </c>
      <c r="L32" s="21" t="str">
        <f t="shared" si="2"/>
        <v/>
      </c>
      <c r="M32" s="127">
        <f t="shared" si="3"/>
        <v>1000.00000003</v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Cami WollesNellie</v>
      </c>
    </row>
    <row r="33" spans="1:26">
      <c r="A33" s="38"/>
      <c r="B33" s="120"/>
      <c r="C33" s="121">
        <v>36</v>
      </c>
      <c r="D33" s="121"/>
      <c r="E33" s="121"/>
      <c r="F33" s="124"/>
      <c r="G33" s="110" t="s">
        <v>118</v>
      </c>
      <c r="H33" s="39" t="s">
        <v>158</v>
      </c>
      <c r="I33" s="21">
        <v>3.1E-8</v>
      </c>
      <c r="J33" s="21">
        <f t="shared" si="7"/>
        <v>36.000000030999999</v>
      </c>
      <c r="K33" s="21" t="str">
        <f t="shared" si="1"/>
        <v/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Pam VankekerixJPS Kas IM stylish</v>
      </c>
    </row>
    <row r="34" spans="1:26">
      <c r="A34" s="38"/>
      <c r="B34" s="120"/>
      <c r="C34" s="120">
        <v>7</v>
      </c>
      <c r="D34" s="120"/>
      <c r="E34" s="120"/>
      <c r="F34" s="123"/>
      <c r="G34" s="110" t="s">
        <v>109</v>
      </c>
      <c r="H34" s="39" t="s">
        <v>159</v>
      </c>
      <c r="I34" s="21">
        <v>3.2000000000000002E-8</v>
      </c>
      <c r="J34" s="21">
        <f t="shared" si="7"/>
        <v>7.000000032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Kristan SoukupPC Remarkable</v>
      </c>
    </row>
    <row r="35" spans="1:26">
      <c r="A35" s="38"/>
      <c r="B35" s="120"/>
      <c r="C35" s="121">
        <v>37</v>
      </c>
      <c r="D35" s="121"/>
      <c r="E35" s="121"/>
      <c r="F35" s="124"/>
      <c r="G35" s="110" t="s">
        <v>109</v>
      </c>
      <c r="H35" s="39" t="s">
        <v>160</v>
      </c>
      <c r="I35" s="21">
        <v>3.2999999999999998E-8</v>
      </c>
      <c r="J35" s="21">
        <f t="shared" si="7"/>
        <v>37.000000032999999</v>
      </c>
      <c r="K35" s="21" t="str">
        <f t="shared" si="1"/>
        <v/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5" t="str">
        <f t="shared" si="5"/>
        <v/>
      </c>
      <c r="Z35" s="21" t="str">
        <f t="shared" si="6"/>
        <v>Kristan SoukupPC Sun Needs Fame</v>
      </c>
    </row>
    <row r="36" spans="1:26">
      <c r="A36" s="38"/>
      <c r="B36" s="120"/>
      <c r="C36" s="121">
        <v>8</v>
      </c>
      <c r="D36" s="121"/>
      <c r="E36" s="121" t="s">
        <v>190</v>
      </c>
      <c r="F36" s="124"/>
      <c r="G36" s="110" t="s">
        <v>161</v>
      </c>
      <c r="H36" s="39" t="s">
        <v>162</v>
      </c>
      <c r="I36" s="21">
        <v>3.4E-8</v>
      </c>
      <c r="J36" s="21">
        <f t="shared" si="7"/>
        <v>8.0000000339999993</v>
      </c>
      <c r="K36" s="21">
        <f t="shared" si="1"/>
        <v>1000.000000034</v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Elaine HagenMIP Streakin Seltzer</v>
      </c>
    </row>
    <row r="37" spans="1:26">
      <c r="A37" s="38"/>
      <c r="B37" s="120"/>
      <c r="C37" s="120">
        <v>69</v>
      </c>
      <c r="D37" s="120"/>
      <c r="E37" s="120" t="s">
        <v>190</v>
      </c>
      <c r="F37" s="123"/>
      <c r="G37" s="110" t="s">
        <v>161</v>
      </c>
      <c r="H37" s="39" t="s">
        <v>163</v>
      </c>
      <c r="I37" s="21">
        <v>3.5000000000000002E-8</v>
      </c>
      <c r="J37" s="21">
        <f t="shared" si="7"/>
        <v>69.000000034999999</v>
      </c>
      <c r="K37" s="21">
        <f t="shared" si="1"/>
        <v>1000.000000035</v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>Elaine HagenSawyers Jo Glo</v>
      </c>
    </row>
    <row r="38" spans="1:26">
      <c r="A38" s="38"/>
      <c r="B38" s="120"/>
      <c r="C38" s="120">
        <v>18</v>
      </c>
      <c r="D38" s="120"/>
      <c r="E38" s="120" t="s">
        <v>190</v>
      </c>
      <c r="F38" s="123"/>
      <c r="G38" s="110" t="s">
        <v>164</v>
      </c>
      <c r="H38" s="39" t="s">
        <v>165</v>
      </c>
      <c r="I38" s="21">
        <v>3.5999999999999998E-8</v>
      </c>
      <c r="J38" s="21">
        <f t="shared" si="7"/>
        <v>18.000000035999999</v>
      </c>
      <c r="K38" s="21">
        <f t="shared" si="1"/>
        <v>1000.000000036</v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>Pam Elshere Secret Storm Bug</v>
      </c>
    </row>
    <row r="39" spans="1:26">
      <c r="A39" s="38"/>
      <c r="B39" s="120"/>
      <c r="C39" s="120">
        <v>17</v>
      </c>
      <c r="D39" s="120"/>
      <c r="E39" s="120"/>
      <c r="F39" s="123"/>
      <c r="G39" s="110" t="s">
        <v>166</v>
      </c>
      <c r="H39" s="39" t="s">
        <v>167</v>
      </c>
      <c r="I39" s="21">
        <v>3.7E-8</v>
      </c>
      <c r="J39" s="21">
        <f t="shared" si="7"/>
        <v>17.000000037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>Deb KrugerFast Sassafrass</v>
      </c>
    </row>
    <row r="40" spans="1:26">
      <c r="A40" s="38"/>
      <c r="B40" s="120"/>
      <c r="C40" s="120">
        <v>33</v>
      </c>
      <c r="D40" s="120"/>
      <c r="E40" s="120">
        <v>33</v>
      </c>
      <c r="F40" s="123"/>
      <c r="G40" s="110" t="s">
        <v>116</v>
      </c>
      <c r="H40" s="39" t="s">
        <v>168</v>
      </c>
      <c r="I40" s="21">
        <v>3.8000000000000003E-8</v>
      </c>
      <c r="J40" s="21">
        <f t="shared" si="7"/>
        <v>33.000000038000003</v>
      </c>
      <c r="K40" s="21">
        <f t="shared" si="1"/>
        <v>33.000000038000003</v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Aleah MarcoPremier Passum</v>
      </c>
    </row>
    <row r="41" spans="1:26">
      <c r="A41" s="38"/>
      <c r="B41" s="120"/>
      <c r="C41" s="121">
        <v>19</v>
      </c>
      <c r="D41" s="121"/>
      <c r="E41" s="121"/>
      <c r="F41" s="124"/>
      <c r="G41" s="110" t="s">
        <v>117</v>
      </c>
      <c r="H41" s="39" t="s">
        <v>169</v>
      </c>
      <c r="I41" s="21">
        <v>3.8999999999999998E-8</v>
      </c>
      <c r="J41" s="21">
        <f t="shared" si="7"/>
        <v>19.000000039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Bailey LoganBrucesPeppyGal</v>
      </c>
    </row>
    <row r="42" spans="1:26">
      <c r="A42" s="38"/>
      <c r="B42" s="120" t="s">
        <v>188</v>
      </c>
      <c r="C42" s="120">
        <v>20</v>
      </c>
      <c r="D42" s="120" t="s">
        <v>188</v>
      </c>
      <c r="E42" s="120">
        <v>20</v>
      </c>
      <c r="F42" s="123">
        <v>20</v>
      </c>
      <c r="G42" s="110" t="s">
        <v>120</v>
      </c>
      <c r="H42" s="39" t="s">
        <v>170</v>
      </c>
      <c r="I42" s="21">
        <v>4.0000000000000001E-8</v>
      </c>
      <c r="J42" s="21">
        <f t="shared" si="7"/>
        <v>20.00000004</v>
      </c>
      <c r="K42" s="21">
        <f t="shared" si="1"/>
        <v>20.00000004</v>
      </c>
      <c r="L42" s="21">
        <f t="shared" si="2"/>
        <v>20.00000004</v>
      </c>
      <c r="M42" s="127">
        <f t="shared" si="3"/>
        <v>1000.00000004</v>
      </c>
      <c r="N42" s="127" t="str">
        <f t="shared" si="8"/>
        <v/>
      </c>
      <c r="O42" s="127">
        <f t="shared" si="4"/>
        <v>1000.00000004</v>
      </c>
      <c r="P42" s="205" t="str">
        <f t="shared" si="5"/>
        <v/>
      </c>
      <c r="Z42" s="21" t="str">
        <f t="shared" si="6"/>
        <v>Andrea HansenBetty</v>
      </c>
    </row>
    <row r="43" spans="1:26">
      <c r="A43" s="38"/>
      <c r="B43" s="120" t="s">
        <v>188</v>
      </c>
      <c r="C43" s="120">
        <v>31</v>
      </c>
      <c r="D43" s="120"/>
      <c r="E43" s="120"/>
      <c r="F43" s="123"/>
      <c r="G43" s="110" t="s">
        <v>121</v>
      </c>
      <c r="H43" s="39" t="s">
        <v>171</v>
      </c>
      <c r="I43" s="21">
        <v>4.1000000000000003E-8</v>
      </c>
      <c r="J43" s="21">
        <f t="shared" si="7"/>
        <v>31.000000041</v>
      </c>
      <c r="K43" s="21" t="str">
        <f t="shared" si="1"/>
        <v/>
      </c>
      <c r="L43" s="21" t="str">
        <f t="shared" si="2"/>
        <v/>
      </c>
      <c r="M43" s="127">
        <f t="shared" si="3"/>
        <v>1000.000000041</v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>Jackie FeikemaMarked With Chrome</v>
      </c>
    </row>
    <row r="44" spans="1:26">
      <c r="A44" s="38"/>
      <c r="B44" s="120" t="s">
        <v>189</v>
      </c>
      <c r="C44" s="121">
        <v>32</v>
      </c>
      <c r="D44" s="121" t="s">
        <v>189</v>
      </c>
      <c r="E44" s="121">
        <v>100</v>
      </c>
      <c r="F44" s="124">
        <v>17</v>
      </c>
      <c r="G44" s="110" t="s">
        <v>172</v>
      </c>
      <c r="H44" s="39" t="s">
        <v>173</v>
      </c>
      <c r="I44" s="21">
        <v>4.1999999999999999E-8</v>
      </c>
      <c r="J44" s="21">
        <f t="shared" si="7"/>
        <v>32.000000042000003</v>
      </c>
      <c r="K44" s="21">
        <f t="shared" si="1"/>
        <v>100.000000042</v>
      </c>
      <c r="L44" s="21">
        <f t="shared" si="2"/>
        <v>17.000000042</v>
      </c>
      <c r="M44" s="127">
        <f t="shared" si="3"/>
        <v>2000.000000042</v>
      </c>
      <c r="N44" s="127" t="str">
        <f t="shared" si="8"/>
        <v/>
      </c>
      <c r="O44" s="127">
        <f t="shared" si="4"/>
        <v>2000.000000042</v>
      </c>
      <c r="P44" s="205" t="str">
        <f t="shared" si="5"/>
        <v/>
      </c>
      <c r="Z44" s="21" t="str">
        <f t="shared" si="6"/>
        <v>Kendall GillenBlue Eyes</v>
      </c>
    </row>
    <row r="45" spans="1:26">
      <c r="A45" s="38"/>
      <c r="B45" s="120"/>
      <c r="C45" s="121">
        <v>16</v>
      </c>
      <c r="D45" s="121"/>
      <c r="E45" s="121"/>
      <c r="F45" s="124">
        <v>16</v>
      </c>
      <c r="G45" s="110" t="s">
        <v>174</v>
      </c>
      <c r="H45" s="39" t="s">
        <v>175</v>
      </c>
      <c r="I45" s="21">
        <v>4.3000000000000001E-8</v>
      </c>
      <c r="J45" s="21">
        <f t="shared" si="7"/>
        <v>16.000000043</v>
      </c>
      <c r="K45" s="21" t="str">
        <f t="shared" si="1"/>
        <v/>
      </c>
      <c r="L45" s="21">
        <f t="shared" si="2"/>
        <v>16.000000043</v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>Kayla PappendickBuddy</v>
      </c>
    </row>
    <row r="46" spans="1:26">
      <c r="A46" s="38"/>
      <c r="B46" s="120"/>
      <c r="C46" s="120">
        <v>2</v>
      </c>
      <c r="D46" s="120"/>
      <c r="E46" s="120"/>
      <c r="F46" s="123"/>
      <c r="G46" s="110" t="s">
        <v>176</v>
      </c>
      <c r="H46" s="39" t="s">
        <v>177</v>
      </c>
      <c r="I46" s="21">
        <v>4.3999999999999997E-8</v>
      </c>
      <c r="J46" s="21">
        <f t="shared" si="7"/>
        <v>2.0000000440000001</v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5" t="str">
        <f t="shared" si="5"/>
        <v/>
      </c>
      <c r="Z46" s="21" t="str">
        <f t="shared" si="6"/>
        <v>Shana LensingSages Lil Peppy Doc</v>
      </c>
    </row>
    <row r="47" spans="1:26">
      <c r="A47" s="38"/>
      <c r="B47" s="120"/>
      <c r="C47" s="121">
        <v>25</v>
      </c>
      <c r="D47" s="121"/>
      <c r="E47" s="121"/>
      <c r="F47" s="124"/>
      <c r="G47" s="110" t="s">
        <v>112</v>
      </c>
      <c r="H47" s="39" t="s">
        <v>178</v>
      </c>
      <c r="I47" s="21">
        <v>4.4999999999999999E-8</v>
      </c>
      <c r="J47" s="21">
        <f t="shared" si="7"/>
        <v>25.000000045</v>
      </c>
      <c r="K47" s="21" t="str">
        <f t="shared" si="1"/>
        <v/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>Nicole VanWellSlick Velvet Kat</v>
      </c>
    </row>
    <row r="48" spans="1:26">
      <c r="A48" s="38"/>
      <c r="B48" s="120"/>
      <c r="C48" s="120">
        <v>26</v>
      </c>
      <c r="D48" s="120"/>
      <c r="E48" s="120"/>
      <c r="F48" s="123"/>
      <c r="G48" s="110" t="s">
        <v>176</v>
      </c>
      <c r="H48" s="39" t="s">
        <v>179</v>
      </c>
      <c r="I48" s="21">
        <v>4.6000000000000002E-8</v>
      </c>
      <c r="J48" s="21">
        <f t="shared" si="7"/>
        <v>26.000000046</v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>Shana LensingDinkys Leroy Cash</v>
      </c>
    </row>
    <row r="49" spans="1:26">
      <c r="A49" s="38"/>
      <c r="B49" s="120" t="s">
        <v>189</v>
      </c>
      <c r="C49" s="120">
        <v>81</v>
      </c>
      <c r="D49" s="120"/>
      <c r="E49" s="120"/>
      <c r="F49" s="123"/>
      <c r="G49" s="110" t="s">
        <v>176</v>
      </c>
      <c r="H49" s="39" t="s">
        <v>180</v>
      </c>
      <c r="I49" s="21">
        <v>4.6999999999999997E-8</v>
      </c>
      <c r="J49" s="21">
        <f t="shared" si="7"/>
        <v>81.000000047</v>
      </c>
      <c r="K49" s="21" t="str">
        <f t="shared" si="1"/>
        <v/>
      </c>
      <c r="L49" s="21" t="str">
        <f t="shared" si="2"/>
        <v/>
      </c>
      <c r="M49" s="127">
        <f t="shared" si="3"/>
        <v>2000.000000047</v>
      </c>
      <c r="N49" s="127" t="str">
        <f t="shared" si="8"/>
        <v/>
      </c>
      <c r="O49" s="127" t="str">
        <f t="shared" si="4"/>
        <v/>
      </c>
      <c r="P49" s="205" t="str">
        <f t="shared" si="5"/>
        <v/>
      </c>
      <c r="Z49" s="21" t="str">
        <f t="shared" si="6"/>
        <v>Shana LensingUltimate Dream Maker</v>
      </c>
    </row>
    <row r="50" spans="1:26">
      <c r="A50" s="38"/>
      <c r="B50" s="120" t="s">
        <v>189</v>
      </c>
      <c r="C50" s="120">
        <v>47</v>
      </c>
      <c r="D50" s="120"/>
      <c r="E50" s="120"/>
      <c r="F50" s="123"/>
      <c r="G50" s="110" t="s">
        <v>183</v>
      </c>
      <c r="H50" s="39" t="s">
        <v>151</v>
      </c>
      <c r="I50" s="21">
        <v>4.8E-8</v>
      </c>
      <c r="J50" s="21">
        <f t="shared" si="7"/>
        <v>47.000000047999997</v>
      </c>
      <c r="K50" s="21" t="str">
        <f t="shared" si="1"/>
        <v/>
      </c>
      <c r="L50" s="21" t="str">
        <f t="shared" si="2"/>
        <v/>
      </c>
      <c r="M50" s="127">
        <f t="shared" si="3"/>
        <v>2000.0000000479999</v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>Quinn GillenBlue</v>
      </c>
    </row>
    <row r="51" spans="1:26">
      <c r="A51" s="38"/>
      <c r="B51" s="120"/>
      <c r="C51" s="120">
        <v>3</v>
      </c>
      <c r="D51" s="120"/>
      <c r="E51" s="120"/>
      <c r="F51" s="123"/>
      <c r="G51" s="110" t="s">
        <v>184</v>
      </c>
      <c r="H51" s="39" t="s">
        <v>185</v>
      </c>
      <c r="I51" s="21">
        <v>4.9000000000000002E-8</v>
      </c>
      <c r="J51" s="21">
        <f t="shared" si="7"/>
        <v>3.0000000490000001</v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5" t="str">
        <f t="shared" si="5"/>
        <v/>
      </c>
      <c r="Z51" s="21" t="str">
        <f t="shared" si="6"/>
        <v>Makayla CrossJacks Dashin Destiny</v>
      </c>
    </row>
    <row r="52" spans="1:26">
      <c r="A52" s="38"/>
      <c r="B52" s="120" t="s">
        <v>188</v>
      </c>
      <c r="C52" s="120">
        <v>25</v>
      </c>
      <c r="D52" s="120"/>
      <c r="E52" s="120"/>
      <c r="F52" s="123"/>
      <c r="G52" s="110" t="s">
        <v>184</v>
      </c>
      <c r="H52" s="39" t="s">
        <v>186</v>
      </c>
      <c r="I52" s="21">
        <v>4.9999999999999998E-8</v>
      </c>
      <c r="J52" s="21">
        <f t="shared" si="7"/>
        <v>25.000000050000001</v>
      </c>
      <c r="K52" s="21" t="str">
        <f t="shared" si="1"/>
        <v/>
      </c>
      <c r="L52" s="21" t="str">
        <f t="shared" si="2"/>
        <v/>
      </c>
      <c r="M52" s="127">
        <f t="shared" si="3"/>
        <v>1000.00000005</v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>Makayla CrossAishas Burnin Love</v>
      </c>
    </row>
    <row r="53" spans="1:26">
      <c r="A53" s="38"/>
      <c r="B53" s="120"/>
      <c r="C53" s="120">
        <v>80</v>
      </c>
      <c r="D53" s="120"/>
      <c r="E53" s="120"/>
      <c r="F53" s="123">
        <v>80</v>
      </c>
      <c r="G53" s="111" t="s">
        <v>184</v>
      </c>
      <c r="H53" s="69" t="s">
        <v>187</v>
      </c>
      <c r="I53" s="21">
        <v>5.1E-8</v>
      </c>
      <c r="J53" s="21">
        <f t="shared" si="7"/>
        <v>80.000000051000001</v>
      </c>
      <c r="K53" s="21" t="str">
        <f t="shared" si="1"/>
        <v/>
      </c>
      <c r="L53" s="21">
        <f t="shared" si="2"/>
        <v>80.000000051000001</v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5" t="str">
        <f t="shared" si="5"/>
        <v/>
      </c>
      <c r="Z53" s="21" t="str">
        <f t="shared" si="6"/>
        <v>Makayla CrossKix</v>
      </c>
    </row>
    <row r="54" spans="1:26">
      <c r="A54" s="38"/>
      <c r="B54" s="120" t="s">
        <v>189</v>
      </c>
      <c r="C54" s="120">
        <v>45</v>
      </c>
      <c r="D54" s="120"/>
      <c r="E54" s="120"/>
      <c r="F54" s="123"/>
      <c r="G54" s="111" t="s">
        <v>191</v>
      </c>
      <c r="H54" s="69" t="s">
        <v>192</v>
      </c>
      <c r="I54" s="21">
        <v>5.2000000000000002E-8</v>
      </c>
      <c r="J54" s="21">
        <f t="shared" si="7"/>
        <v>45.000000051999997</v>
      </c>
      <c r="K54" s="21" t="str">
        <f t="shared" si="1"/>
        <v/>
      </c>
      <c r="L54" s="21" t="str">
        <f t="shared" si="2"/>
        <v/>
      </c>
      <c r="M54" s="127">
        <f t="shared" si="3"/>
        <v>2000.0000000519999</v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>Eva SchaferZipper</v>
      </c>
    </row>
    <row r="55" spans="1:26">
      <c r="A55" s="38"/>
      <c r="B55" s="120" t="s">
        <v>188</v>
      </c>
      <c r="C55" s="120">
        <v>46</v>
      </c>
      <c r="D55" s="120"/>
      <c r="E55" s="120"/>
      <c r="F55" s="123"/>
      <c r="G55" s="111" t="s">
        <v>193</v>
      </c>
      <c r="H55" s="69" t="s">
        <v>194</v>
      </c>
      <c r="I55" s="21">
        <v>5.2999999999999998E-8</v>
      </c>
      <c r="J55" s="21">
        <f t="shared" si="7"/>
        <v>46.000000053000001</v>
      </c>
      <c r="K55" s="21" t="str">
        <f t="shared" si="1"/>
        <v/>
      </c>
      <c r="L55" s="21" t="str">
        <f t="shared" si="2"/>
        <v/>
      </c>
      <c r="M55" s="127">
        <f t="shared" si="3"/>
        <v>1000.000000053</v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>Joslyn DeknikkerChexies Smoke</v>
      </c>
    </row>
    <row r="56" spans="1:26">
      <c r="A56" s="38"/>
      <c r="B56" s="120"/>
      <c r="C56" s="120">
        <v>49</v>
      </c>
      <c r="D56" s="120"/>
      <c r="E56" s="120"/>
      <c r="F56" s="123"/>
      <c r="G56" s="111" t="s">
        <v>195</v>
      </c>
      <c r="H56" s="69" t="s">
        <v>196</v>
      </c>
      <c r="I56" s="21">
        <v>5.4E-8</v>
      </c>
      <c r="J56" s="21">
        <f t="shared" si="7"/>
        <v>49.000000053999997</v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>Penny SchlagelBI Serendipity</v>
      </c>
    </row>
    <row r="57" spans="1:26">
      <c r="A57" s="38"/>
      <c r="B57" s="120"/>
      <c r="C57" s="120">
        <v>47</v>
      </c>
      <c r="D57" s="120"/>
      <c r="E57" s="120"/>
      <c r="F57" s="123"/>
      <c r="G57" s="111" t="s">
        <v>197</v>
      </c>
      <c r="H57" s="69" t="s">
        <v>198</v>
      </c>
      <c r="I57" s="21">
        <v>5.5000000000000003E-8</v>
      </c>
      <c r="J57" s="21">
        <f t="shared" si="7"/>
        <v>47.000000055000001</v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>Kristi ClelandFergie</v>
      </c>
    </row>
    <row r="58" spans="1:26">
      <c r="A58" s="38"/>
      <c r="B58" s="120"/>
      <c r="C58" s="120">
        <v>48</v>
      </c>
      <c r="D58" s="120"/>
      <c r="E58" s="120"/>
      <c r="F58" s="123"/>
      <c r="G58" s="111" t="s">
        <v>199</v>
      </c>
      <c r="H58" s="69" t="s">
        <v>200</v>
      </c>
      <c r="I58" s="21">
        <v>5.5999999999999999E-8</v>
      </c>
      <c r="J58" s="21">
        <f t="shared" si="7"/>
        <v>48.000000055999998</v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>Karen ClausenSRR Cougar Cat</v>
      </c>
    </row>
    <row r="59" spans="1:26">
      <c r="A59" s="38"/>
      <c r="B59" s="120"/>
      <c r="C59" s="120">
        <v>35</v>
      </c>
      <c r="D59" s="120"/>
      <c r="E59" s="120" t="s">
        <v>190</v>
      </c>
      <c r="F59" s="123"/>
      <c r="G59" s="111" t="s">
        <v>201</v>
      </c>
      <c r="H59" s="69" t="s">
        <v>202</v>
      </c>
      <c r="I59" s="21">
        <v>5.7000000000000001E-8</v>
      </c>
      <c r="J59" s="21">
        <f t="shared" si="7"/>
        <v>35.000000057000001</v>
      </c>
      <c r="K59" s="21">
        <f t="shared" si="1"/>
        <v>1000.000000057</v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 xml:space="preserve">Jodie GreigStreakin On Fame </v>
      </c>
    </row>
    <row r="60" spans="1:26">
      <c r="A60" s="38"/>
      <c r="B60" s="120" t="s">
        <v>189</v>
      </c>
      <c r="C60" s="120">
        <v>11</v>
      </c>
      <c r="D60" s="120" t="s">
        <v>189</v>
      </c>
      <c r="E60" s="120">
        <v>11</v>
      </c>
      <c r="F60" s="123"/>
      <c r="G60" s="111" t="s">
        <v>203</v>
      </c>
      <c r="H60" s="69" t="s">
        <v>204</v>
      </c>
      <c r="I60" s="21">
        <v>5.8000000000000003E-8</v>
      </c>
      <c r="J60" s="21">
        <f t="shared" si="7"/>
        <v>11.000000057999999</v>
      </c>
      <c r="K60" s="21">
        <f t="shared" si="1"/>
        <v>11.000000057999999</v>
      </c>
      <c r="L60" s="21" t="str">
        <f t="shared" si="2"/>
        <v/>
      </c>
      <c r="M60" s="127">
        <f t="shared" si="3"/>
        <v>2000.0000000580001</v>
      </c>
      <c r="N60" s="127" t="str">
        <f t="shared" si="8"/>
        <v/>
      </c>
      <c r="O60" s="127">
        <f t="shared" si="4"/>
        <v>2000.0000000580001</v>
      </c>
      <c r="P60" s="205" t="str">
        <f t="shared" si="5"/>
        <v/>
      </c>
      <c r="Z60" s="21" t="str">
        <f t="shared" si="6"/>
        <v>Josey FeyO SO Country</v>
      </c>
    </row>
    <row r="61" spans="1:26">
      <c r="A61" s="38"/>
      <c r="B61" s="120"/>
      <c r="C61" s="120">
        <v>57</v>
      </c>
      <c r="D61" s="120"/>
      <c r="E61" s="120">
        <v>57</v>
      </c>
      <c r="F61" s="123"/>
      <c r="G61" s="111" t="s">
        <v>203</v>
      </c>
      <c r="H61" s="69" t="s">
        <v>205</v>
      </c>
      <c r="I61" s="21">
        <v>5.8999999999999999E-8</v>
      </c>
      <c r="J61" s="21">
        <f t="shared" si="7"/>
        <v>57.000000059000001</v>
      </c>
      <c r="K61" s="21">
        <f t="shared" si="1"/>
        <v>57.000000059000001</v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>Josey FeyGunning for Fame</v>
      </c>
    </row>
    <row r="62" spans="1:26">
      <c r="A62" s="38"/>
      <c r="B62" s="120" t="s">
        <v>189</v>
      </c>
      <c r="C62" s="120">
        <v>12</v>
      </c>
      <c r="D62" s="120" t="s">
        <v>189</v>
      </c>
      <c r="E62" s="120">
        <v>110</v>
      </c>
      <c r="F62" s="123"/>
      <c r="G62" s="111" t="s">
        <v>206</v>
      </c>
      <c r="H62" s="69" t="s">
        <v>207</v>
      </c>
      <c r="I62" s="21">
        <v>5.9999999999999995E-8</v>
      </c>
      <c r="J62" s="21">
        <f t="shared" si="7"/>
        <v>12.00000006</v>
      </c>
      <c r="K62" s="21">
        <f t="shared" si="1"/>
        <v>110.00000006</v>
      </c>
      <c r="L62" s="21" t="str">
        <f t="shared" si="2"/>
        <v/>
      </c>
      <c r="M62" s="127">
        <f t="shared" si="3"/>
        <v>2000.00000006</v>
      </c>
      <c r="N62" s="127" t="str">
        <f t="shared" si="8"/>
        <v/>
      </c>
      <c r="O62" s="127">
        <f t="shared" si="4"/>
        <v>2000.00000006</v>
      </c>
      <c r="P62" s="205" t="str">
        <f t="shared" si="5"/>
        <v/>
      </c>
      <c r="Z62" s="21" t="str">
        <f t="shared" si="6"/>
        <v>Hatty FeyMaude</v>
      </c>
    </row>
    <row r="63" spans="1:26">
      <c r="A63" s="38"/>
      <c r="B63" s="120" t="s">
        <v>189</v>
      </c>
      <c r="C63" s="120">
        <v>58</v>
      </c>
      <c r="D63" s="120" t="s">
        <v>189</v>
      </c>
      <c r="E63" s="120">
        <v>111</v>
      </c>
      <c r="F63" s="123"/>
      <c r="G63" s="111" t="s">
        <v>206</v>
      </c>
      <c r="H63" s="69" t="s">
        <v>208</v>
      </c>
      <c r="I63" s="21">
        <v>6.1000000000000004E-8</v>
      </c>
      <c r="J63" s="21">
        <f t="shared" si="7"/>
        <v>58.000000061000001</v>
      </c>
      <c r="K63" s="21">
        <f t="shared" si="1"/>
        <v>111.00000006099999</v>
      </c>
      <c r="L63" s="21" t="str">
        <f t="shared" si="2"/>
        <v/>
      </c>
      <c r="M63" s="127">
        <f t="shared" si="3"/>
        <v>2000.000000061</v>
      </c>
      <c r="N63" s="127" t="str">
        <f t="shared" si="8"/>
        <v/>
      </c>
      <c r="O63" s="127">
        <f t="shared" si="4"/>
        <v>2000.000000061</v>
      </c>
      <c r="P63" s="205" t="str">
        <f t="shared" si="5"/>
        <v/>
      </c>
      <c r="Z63" s="21" t="str">
        <f t="shared" si="6"/>
        <v>Hatty FeySage</v>
      </c>
    </row>
    <row r="64" spans="1:26">
      <c r="A64" s="38"/>
      <c r="B64" s="120"/>
      <c r="C64" s="120">
        <v>47</v>
      </c>
      <c r="D64" s="120"/>
      <c r="E64" s="120"/>
      <c r="F64" s="123"/>
      <c r="G64" s="111" t="s">
        <v>209</v>
      </c>
      <c r="H64" s="69" t="s">
        <v>210</v>
      </c>
      <c r="I64" s="21">
        <v>6.1999999999999999E-8</v>
      </c>
      <c r="J64" s="21">
        <f t="shared" si="7"/>
        <v>47.000000061999998</v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>Erica TrautRDC Eym French Nrare</v>
      </c>
    </row>
    <row r="65" spans="1:26">
      <c r="A65" s="38"/>
      <c r="B65" s="120"/>
      <c r="C65" s="120">
        <v>32</v>
      </c>
      <c r="D65" s="120"/>
      <c r="E65" s="120"/>
      <c r="F65" s="123"/>
      <c r="G65" s="111" t="s">
        <v>212</v>
      </c>
      <c r="H65" s="69" t="s">
        <v>213</v>
      </c>
      <c r="I65" s="21">
        <v>6.2999999999999995E-8</v>
      </c>
      <c r="J65" s="21">
        <f t="shared" si="7"/>
        <v>32.000000063000002</v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>Lenae WiersmaTBD</v>
      </c>
    </row>
    <row r="66" spans="1:26">
      <c r="A66" s="38"/>
      <c r="B66" s="120"/>
      <c r="C66" s="120">
        <v>13</v>
      </c>
      <c r="D66" s="120"/>
      <c r="E66" s="120">
        <v>13</v>
      </c>
      <c r="F66" s="123"/>
      <c r="G66" s="111" t="s">
        <v>214</v>
      </c>
      <c r="H66" s="69" t="s">
        <v>215</v>
      </c>
      <c r="I66" s="21">
        <v>6.4000000000000004E-8</v>
      </c>
      <c r="J66" s="21">
        <f t="shared" si="7"/>
        <v>13.000000064</v>
      </c>
      <c r="K66" s="21">
        <f t="shared" si="1"/>
        <v>13.000000064</v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>Natalie HieronimusSH Chrome Ta Fame</v>
      </c>
    </row>
    <row r="67" spans="1:26">
      <c r="A67" s="38"/>
      <c r="B67" s="120"/>
      <c r="C67" s="120">
        <v>65</v>
      </c>
      <c r="D67" s="120"/>
      <c r="E67" s="120"/>
      <c r="F67" s="123"/>
      <c r="G67" s="111" t="s">
        <v>214</v>
      </c>
      <c r="H67" s="69" t="s">
        <v>216</v>
      </c>
      <c r="I67" s="21">
        <v>6.5E-8</v>
      </c>
      <c r="J67" s="21">
        <f t="shared" si="7"/>
        <v>65.000000064999995</v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>Natalie HieronimusCharlie</v>
      </c>
    </row>
    <row r="68" spans="1:26">
      <c r="A68" s="38"/>
      <c r="B68" s="120"/>
      <c r="C68" s="120">
        <v>14</v>
      </c>
      <c r="D68" s="120"/>
      <c r="E68" s="120"/>
      <c r="F68" s="123">
        <v>14</v>
      </c>
      <c r="G68" s="111" t="s">
        <v>217</v>
      </c>
      <c r="H68" s="69" t="s">
        <v>228</v>
      </c>
      <c r="I68" s="21">
        <v>6.5999999999999995E-8</v>
      </c>
      <c r="J68" s="21">
        <f t="shared" si="7"/>
        <v>14.000000066</v>
      </c>
      <c r="K68" s="21" t="str">
        <f t="shared" ref="K68:K131" si="10">IF(E68="co",1000+I68,IF(E68="yco",2000+I68,IF((E68+$I68)&lt;1,"",E68+$I68)))</f>
        <v/>
      </c>
      <c r="L68" s="21">
        <f t="shared" ref="L68:L131" si="11">IF((F68+$I68)&lt;1,"",F68+$I68)</f>
        <v>14.000000066</v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 xml:space="preserve">Kaitilynn JorgensenKitty Dun It </v>
      </c>
    </row>
    <row r="69" spans="1:26">
      <c r="A69" s="38"/>
      <c r="B69" s="120"/>
      <c r="C69" s="120">
        <v>66</v>
      </c>
      <c r="D69" s="120"/>
      <c r="E69" s="120"/>
      <c r="F69" s="123"/>
      <c r="G69" s="111" t="s">
        <v>218</v>
      </c>
      <c r="H69" s="69" t="s">
        <v>230</v>
      </c>
      <c r="I69" s="21">
        <v>6.7000000000000004E-8</v>
      </c>
      <c r="J69" s="21">
        <f t="shared" ref="J69:J132" si="16">IF(C69="yco",1000+I69,IF((C69+$I69)&lt;1,"",C69+$I69))</f>
        <v>66.000000067000002</v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>Kara MartinReno</v>
      </c>
    </row>
    <row r="70" spans="1:26">
      <c r="A70" s="38"/>
      <c r="B70" s="120"/>
      <c r="C70" s="120">
        <v>15</v>
      </c>
      <c r="D70" s="120"/>
      <c r="E70" s="120"/>
      <c r="F70" s="123"/>
      <c r="G70" s="111" t="s">
        <v>218</v>
      </c>
      <c r="H70" s="69" t="s">
        <v>229</v>
      </c>
      <c r="I70" s="21">
        <v>6.8E-8</v>
      </c>
      <c r="J70" s="21">
        <f t="shared" si="16"/>
        <v>15.000000068</v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>Kara MartinDasher</v>
      </c>
    </row>
    <row r="71" spans="1:26">
      <c r="A71" s="38"/>
      <c r="B71" s="120"/>
      <c r="C71" s="120">
        <v>77</v>
      </c>
      <c r="D71" s="120"/>
      <c r="E71" s="120"/>
      <c r="F71" s="123"/>
      <c r="G71" s="111" t="s">
        <v>105</v>
      </c>
      <c r="H71" s="69" t="s">
        <v>220</v>
      </c>
      <c r="I71" s="21">
        <v>6.8999999999999996E-8</v>
      </c>
      <c r="J71" s="21">
        <f t="shared" si="16"/>
        <v>77.000000068999995</v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>Sara Jo LambTakin on a Goldmine</v>
      </c>
    </row>
    <row r="72" spans="1:26">
      <c r="A72" s="38"/>
      <c r="B72" s="120"/>
      <c r="C72" s="120">
        <v>59</v>
      </c>
      <c r="D72" s="120"/>
      <c r="E72" s="120"/>
      <c r="F72" s="123"/>
      <c r="G72" s="111" t="s">
        <v>221</v>
      </c>
      <c r="H72" s="69" t="s">
        <v>143</v>
      </c>
      <c r="I72" s="21">
        <v>7.0000000000000005E-8</v>
      </c>
      <c r="J72" s="21">
        <f t="shared" si="16"/>
        <v>59.000000069999999</v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 xml:space="preserve">Jamie ZuidemaLucy </v>
      </c>
    </row>
    <row r="73" spans="1:26">
      <c r="A73" s="38"/>
      <c r="B73" s="120" t="s">
        <v>188</v>
      </c>
      <c r="C73" s="120">
        <v>34</v>
      </c>
      <c r="D73" s="120" t="s">
        <v>189</v>
      </c>
      <c r="E73" s="120">
        <v>34</v>
      </c>
      <c r="F73" s="123">
        <v>34</v>
      </c>
      <c r="G73" s="111" t="s">
        <v>222</v>
      </c>
      <c r="H73" s="69" t="s">
        <v>223</v>
      </c>
      <c r="I73" s="21">
        <v>7.1E-8</v>
      </c>
      <c r="J73" s="21">
        <f t="shared" si="16"/>
        <v>34.000000071000002</v>
      </c>
      <c r="K73" s="21">
        <f t="shared" si="10"/>
        <v>34.000000071000002</v>
      </c>
      <c r="L73" s="21">
        <f t="shared" si="11"/>
        <v>34.000000071000002</v>
      </c>
      <c r="M73" s="127">
        <f t="shared" si="12"/>
        <v>1000.000000071</v>
      </c>
      <c r="N73" s="127" t="str">
        <f t="shared" si="9"/>
        <v/>
      </c>
      <c r="O73" s="127">
        <f t="shared" si="13"/>
        <v>2000.0000000709999</v>
      </c>
      <c r="P73" s="205" t="str">
        <f t="shared" si="14"/>
        <v/>
      </c>
      <c r="Z73" s="21" t="str">
        <f t="shared" si="15"/>
        <v>Hayden SeitzJitter</v>
      </c>
    </row>
    <row r="74" spans="1:26">
      <c r="A74" s="38"/>
      <c r="B74" s="120"/>
      <c r="C74" s="120"/>
      <c r="D74" s="120"/>
      <c r="E74" s="120"/>
      <c r="F74" s="123">
        <v>15</v>
      </c>
      <c r="G74" s="111" t="s">
        <v>218</v>
      </c>
      <c r="H74" s="69" t="s">
        <v>231</v>
      </c>
      <c r="I74" s="21">
        <v>7.1999999999999996E-8</v>
      </c>
      <c r="J74" s="21" t="str">
        <f t="shared" si="16"/>
        <v/>
      </c>
      <c r="K74" s="21" t="str">
        <f t="shared" si="10"/>
        <v/>
      </c>
      <c r="L74" s="21">
        <f t="shared" si="11"/>
        <v>15.000000072000001</v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>Kara MartinFame</v>
      </c>
    </row>
    <row r="75" spans="1:26">
      <c r="A75" s="38"/>
      <c r="B75" s="120"/>
      <c r="C75" s="120">
        <v>102</v>
      </c>
      <c r="D75" s="120"/>
      <c r="E75" s="120"/>
      <c r="F75" s="123"/>
      <c r="G75" s="111" t="s">
        <v>218</v>
      </c>
      <c r="H75" s="69" t="s">
        <v>232</v>
      </c>
      <c r="I75" s="21">
        <v>7.3000000000000005E-8</v>
      </c>
      <c r="J75" s="21">
        <f t="shared" si="16"/>
        <v>102.000000073</v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>Kara MartinFlame</v>
      </c>
    </row>
    <row r="76" spans="1:26">
      <c r="A76" s="38"/>
      <c r="B76" s="120"/>
      <c r="C76" s="120"/>
      <c r="D76" s="120" t="s">
        <v>189</v>
      </c>
      <c r="E76" s="120">
        <v>105</v>
      </c>
      <c r="F76" s="123"/>
      <c r="G76" s="111" t="s">
        <v>226</v>
      </c>
      <c r="H76" s="69" t="s">
        <v>227</v>
      </c>
      <c r="I76" s="21">
        <v>7.4000000000000001E-8</v>
      </c>
      <c r="J76" s="21" t="str">
        <f t="shared" si="16"/>
        <v/>
      </c>
      <c r="K76" s="21">
        <f t="shared" si="10"/>
        <v>105.000000074</v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>
        <f t="shared" si="13"/>
        <v>2000.0000000739999</v>
      </c>
      <c r="P76" s="205" t="str">
        <f t="shared" si="14"/>
        <v/>
      </c>
      <c r="Z76" s="21" t="str">
        <f t="shared" si="15"/>
        <v>Kennedy StephensHollywood</v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Kristine DeBerg</v>
      </c>
      <c r="C2" t="str">
        <f>IFERROR(INDEX('Enter Draw'!$C$3:$H$252,MATCH(SMALL('Enter Draw'!$J$3:$J$252,D2),'Enter Draw'!$J$3:$J$252,0),6),"")</f>
        <v>Jessfrostmycake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Aleah Marco</v>
      </c>
      <c r="H2" t="str">
        <f>IFERROR(INDEX('Enter Draw'!$E$3:$H$252,MATCH(SMALL('Enter Draw'!$K$3:$K$252,D2),'Enter Draw'!$K$3:$K$252,0),4),"")</f>
        <v>Premier Passum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Kaitilynn Jorgensen</v>
      </c>
      <c r="L2" t="str">
        <f>IFERROR(INDEX('Enter Draw'!$F$3:$H$252,MATCH(SMALL('Enter Draw'!$L$3:$L$252,I2),'Enter Draw'!$L$3:$L$252,0),3),"")</f>
        <v xml:space="preserve">Kitty Dun It 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Candice Aamot</v>
      </c>
      <c r="P2" t="str">
        <f>IFERROR(INDEX('Enter Draw'!$A$3:$H$252,MATCH(SMALL('Enter Draw'!$M$3:$M$252,Q2),'Enter Draw'!$M$3:$M$252,0),8),"")</f>
        <v>Streaker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Megan Rosendahl</v>
      </c>
      <c r="Z2" t="str">
        <f>IFERROR(INDEX('Enter Draw'!$A$3:$H$252,MATCH(SMALL('Enter Draw'!$O$3:$O$252,Q2),'Enter Draw'!$O$3:$O$252,0),8),"")</f>
        <v>A Dash of Jerzy Cash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Cami Wolles</v>
      </c>
      <c r="C3" t="str">
        <f>IFERROR(INDEX('Enter Draw'!$C$3:$H$252,MATCH(SMALL('Enter Draw'!$J$3:$J$252,D3),'Enter Draw'!$J$3:$J$252,0),6),"")</f>
        <v>Nellie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Josey Fey</v>
      </c>
      <c r="H3" t="str">
        <f>IFERROR(INDEX('Enter Draw'!$E$3:$H$252,MATCH(SMALL('Enter Draw'!$K$3:$K$252,D3),'Enter Draw'!$K$3:$K$252,0),4),"")</f>
        <v>O SO Country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Kara Martin</v>
      </c>
      <c r="L3" t="str">
        <f>IFERROR(INDEX('Enter Draw'!$F$3:$H$252,MATCH(SMALL('Enter Draw'!$L$3:$L$252,I3),'Enter Draw'!$L$3:$L$252,0),3),"")</f>
        <v>Fame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Megan Rosendahl</v>
      </c>
      <c r="P3" t="str">
        <f>IFERROR(INDEX('Enter Draw'!$A$3:$H$252,MATCH(SMALL('Enter Draw'!$M$3:$M$252,Q3),'Enter Draw'!$M$3:$M$252,0),8),"")</f>
        <v>A Dash of Jerzy Cash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Aleah Marco</v>
      </c>
      <c r="Z3" t="str">
        <f>IFERROR(INDEX('Enter Draw'!$A$3:$H$252,MATCH(SMALL('Enter Draw'!$O$3:$O$252,Q3),'Enter Draw'!$O$3:$O$252,0),8),"")</f>
        <v>Premier Passum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Shana Lensing</v>
      </c>
      <c r="C4" t="str">
        <f>IFERROR(INDEX('Enter Draw'!$C$3:$H$252,MATCH(SMALL('Enter Draw'!$J$3:$J$252,D4),'Enter Draw'!$J$3:$J$252,0),6),"")</f>
        <v>Sages Lil Peppy Doc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Natalie Hieronimus</v>
      </c>
      <c r="H4" t="str">
        <f>IFERROR(INDEX('Enter Draw'!$E$3:$H$252,MATCH(SMALL('Enter Draw'!$K$3:$K$252,D4),'Enter Draw'!$K$3:$K$252,0),4),"")</f>
        <v>SH Chrome Ta Fame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Kayla Pappendick</v>
      </c>
      <c r="L4" t="str">
        <f>IFERROR(INDEX('Enter Draw'!$F$3:$H$252,MATCH(SMALL('Enter Draw'!$L$3:$L$252,I4),'Enter Draw'!$L$3:$L$252,0),3),"")</f>
        <v>Buddy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Aleah Marco</v>
      </c>
      <c r="P4" t="str">
        <f>IFERROR(INDEX('Enter Draw'!$A$3:$H$252,MATCH(SMALL('Enter Draw'!$M$3:$M$252,Q4),'Enter Draw'!$M$3:$M$252,0),8),"")</f>
        <v>Premier Passum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oco</v>
      </c>
      <c r="Y4" t="str">
        <f>IFERROR(INDEX('Enter Draw'!$A$3:$J$252,MATCH(SMALL('Enter Draw'!$O$3:$O$252,Q4),'Enter Draw'!$O$3:$O$252,0),7),"")</f>
        <v>Andrea Hansen</v>
      </c>
      <c r="Z4" t="str">
        <f>IFERROR(INDEX('Enter Draw'!$A$3:$H$252,MATCH(SMALL('Enter Draw'!$O$3:$O$252,Q4),'Enter Draw'!$O$3:$O$252,0),8),"")</f>
        <v>Betty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Makayla Cross</v>
      </c>
      <c r="C5" t="str">
        <f>IFERROR(INDEX('Enter Draw'!$C$3:$H$252,MATCH(SMALL('Enter Draw'!$J$3:$J$252,D5),'Enter Draw'!$J$3:$J$252,0),6),"")</f>
        <v>Jacks Dashin Destiny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Andrea Hansen</v>
      </c>
      <c r="H5" t="str">
        <f>IFERROR(INDEX('Enter Draw'!$E$3:$H$252,MATCH(SMALL('Enter Draw'!$K$3:$K$252,D5),'Enter Draw'!$K$3:$K$252,0),4),"")</f>
        <v>Betty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Kendall Gillen</v>
      </c>
      <c r="L5" t="str">
        <f>IFERROR(INDEX('Enter Draw'!$F$3:$H$252,MATCH(SMALL('Enter Draw'!$L$3:$L$252,I5),'Enter Draw'!$L$3:$L$252,0),3),"")</f>
        <v>Blue Eyes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Cami Wolles</v>
      </c>
      <c r="P5" t="str">
        <f>IFERROR(INDEX('Enter Draw'!$A$3:$H$252,MATCH(SMALL('Enter Draw'!$M$3:$M$252,Q5),'Enter Draw'!$M$3:$M$252,0),8),"")</f>
        <v>Nellie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Autumn Maxfield</v>
      </c>
      <c r="Z5" t="str">
        <f>IFERROR(INDEX('Enter Draw'!$A$3:$H$252,MATCH(SMALL('Enter Draw'!$O$3:$O$252,Q5),'Enter Draw'!$O$3:$O$252,0),8),"")</f>
        <v>Split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Aleah Marco</v>
      </c>
      <c r="C6" t="str">
        <f>IFERROR(INDEX('Enter Draw'!$C$3:$H$252,MATCH(SMALL('Enter Draw'!$J$3:$J$252,D6),'Enter Draw'!$J$3:$J$252,0),6),"")</f>
        <v>Premier Passum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Denise Benney</v>
      </c>
      <c r="H6" t="str">
        <f>IFERROR(INDEX('Enter Draw'!$E$3:$H$252,MATCH(SMALL('Enter Draw'!$K$3:$K$252,D6),'Enter Draw'!$K$3:$K$252,0),4),"")</f>
        <v>Cheyenne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Andrea Hansen</v>
      </c>
      <c r="L6" t="str">
        <f>IFERROR(INDEX('Enter Draw'!$F$3:$H$252,MATCH(SMALL('Enter Draw'!$L$3:$L$252,I6),'Enter Draw'!$L$3:$L$252,0),3),"")</f>
        <v>Betty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Andrea Hansen</v>
      </c>
      <c r="P6" t="str">
        <f>IFERROR(INDEX('Enter Draw'!$A$3:$H$252,MATCH(SMALL('Enter Draw'!$M$3:$M$252,Q6),'Enter Draw'!$M$3:$M$252,0),8),"")</f>
        <v>Betty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Sierra Berg</v>
      </c>
      <c r="Z6" t="str">
        <f>IFERROR(INDEX('Enter Draw'!$A$3:$H$252,MATCH(SMALL('Enter Draw'!$O$3:$O$252,Q6),'Enter Draw'!$O$3:$O$252,0),8),"")</f>
        <v>Houdini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Megan Thorson</v>
      </c>
      <c r="C8" t="str">
        <f>IFERROR(INDEX('Enter Draw'!$C$3:$H$252,MATCH(SMALL('Enter Draw'!$J$3:$J$252,D8),'Enter Draw'!$J$3:$J$252,0),6),"")</f>
        <v>Rocky Rio Rebel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Sierra Berg</v>
      </c>
      <c r="H8" t="str">
        <f>IFERROR(INDEX('Enter Draw'!$E$3:$H$252,MATCH(SMALL('Enter Draw'!$K$3:$K$252,D8),'Enter Draw'!$K$3:$K$252,0),4),"")</f>
        <v>Houdini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Autumn Maxfield</v>
      </c>
      <c r="L8" t="str">
        <f>IFERROR(INDEX('Enter Draw'!$F$3:$H$252,MATCH(SMALL('Enter Draw'!$L$3:$L$252,I8),'Enter Draw'!$L$3:$L$252,0),3),"")</f>
        <v>Split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oco</v>
      </c>
      <c r="O8" t="str">
        <f>IFERROR(INDEX('Enter Draw'!$A$3:$J$252,MATCH(SMALL('Enter Draw'!$M$3:$M$252,Q8),'Enter Draw'!$M$3:$M$252,0),7),"")</f>
        <v>Jackie Feikema</v>
      </c>
      <c r="P8" t="str">
        <f>IFERROR(INDEX('Enter Draw'!$A$3:$H$252,MATCH(SMALL('Enter Draw'!$M$3:$M$252,Q8),'Enter Draw'!$M$3:$M$252,0),8),"")</f>
        <v>Marked With Chrome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Kendall Gillen</v>
      </c>
      <c r="Z8" t="str">
        <f>IFERROR(INDEX('Enter Draw'!$A$3:$H$252,MATCH(SMALL('Enter Draw'!$O$3:$O$252,Q8),'Enter Draw'!$O$3:$O$252,0),8),"")</f>
        <v>Blue Eyes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Lily Kenny</v>
      </c>
      <c r="C9" t="str">
        <f>IFERROR(INDEX('Enter Draw'!$C$3:$H$252,MATCH(SMALL('Enter Draw'!$J$3:$J$252,D9),'Enter Draw'!$J$3:$J$252,0),6),"")</f>
        <v>Alive with Trouble ( Soldier)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Autumn Maxfield</v>
      </c>
      <c r="H9" t="str">
        <f>IFERROR(INDEX('Enter Draw'!$E$3:$H$252,MATCH(SMALL('Enter Draw'!$K$3:$K$252,D9),'Enter Draw'!$K$3:$K$252,0),4),"")</f>
        <v>Split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Hayden Seitz</v>
      </c>
      <c r="L9" t="str">
        <f>IFERROR(INDEX('Enter Draw'!$F$3:$H$252,MATCH(SMALL('Enter Draw'!$L$3:$L$252,I9),'Enter Draw'!$L$3:$L$252,0),3),"")</f>
        <v>Jitter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oco</v>
      </c>
      <c r="O9" t="str">
        <f>IFERROR(INDEX('Enter Draw'!$A$3:$J$252,MATCH(SMALL('Enter Draw'!$M$3:$M$252,Q9),'Enter Draw'!$M$3:$M$252,0),7),"")</f>
        <v>Makayla Cross</v>
      </c>
      <c r="P9" t="str">
        <f>IFERROR(INDEX('Enter Draw'!$A$3:$H$252,MATCH(SMALL('Enter Draw'!$M$3:$M$252,Q9),'Enter Draw'!$M$3:$M$252,0),8),"")</f>
        <v>Aishas Burnin Love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>oy</v>
      </c>
      <c r="Y9" t="str">
        <f>IFERROR(INDEX('Enter Draw'!$A$3:$J$252,MATCH(SMALL('Enter Draw'!$O$3:$O$252,Q9),'Enter Draw'!$O$3:$O$252,0),7),"")</f>
        <v>Josey Fey</v>
      </c>
      <c r="Z9" t="str">
        <f>IFERROR(INDEX('Enter Draw'!$A$3:$H$252,MATCH(SMALL('Enter Draw'!$O$3:$O$252,Q9),'Enter Draw'!$O$3:$O$252,0),8),"")</f>
        <v>O SO Country</v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Kristan Soukup</v>
      </c>
      <c r="C10" t="str">
        <f>IFERROR(INDEX('Enter Draw'!$C$3:$H$252,MATCH(SMALL('Enter Draw'!$J$3:$J$252,D10),'Enter Draw'!$J$3:$J$252,0),6),"")</f>
        <v>PC Remarkable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Aleah Marco</v>
      </c>
      <c r="H10" t="str">
        <f>IFERROR(INDEX('Enter Draw'!$E$3:$H$252,MATCH(SMALL('Enter Draw'!$K$3:$K$252,D10),'Enter Draw'!$K$3:$K$252,0),4),"")</f>
        <v>Premier Passum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Lily Foss</v>
      </c>
      <c r="L10" t="str">
        <f>IFERROR(INDEX('Enter Draw'!$F$3:$H$252,MATCH(SMALL('Enter Draw'!$L$3:$L$252,I10),'Enter Draw'!$L$3:$L$252,0),3),"")</f>
        <v>Horse 1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oco</v>
      </c>
      <c r="O10" t="str">
        <f>IFERROR(INDEX('Enter Draw'!$A$3:$J$252,MATCH(SMALL('Enter Draw'!$M$3:$M$252,Q10),'Enter Draw'!$M$3:$M$252,0),7),"")</f>
        <v>Joslyn Deknikker</v>
      </c>
      <c r="P10" t="str">
        <f>IFERROR(INDEX('Enter Draw'!$A$3:$H$252,MATCH(SMALL('Enter Draw'!$M$3:$M$252,Q10),'Enter Draw'!$M$3:$M$252,0),8),"")</f>
        <v>Chexies Smoke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>oy</v>
      </c>
      <c r="Y10" t="str">
        <f>IFERROR(INDEX('Enter Draw'!$A$3:$J$252,MATCH(SMALL('Enter Draw'!$O$3:$O$252,Q10),'Enter Draw'!$O$3:$O$252,0),7),"")</f>
        <v>Hatty Fey</v>
      </c>
      <c r="Z10" t="str">
        <f>IFERROR(INDEX('Enter Draw'!$A$3:$H$252,MATCH(SMALL('Enter Draw'!$O$3:$O$252,Q10),'Enter Draw'!$O$3:$O$252,0),8),"")</f>
        <v>Maude</v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Elaine Hagen</v>
      </c>
      <c r="C11" t="str">
        <f>IFERROR(INDEX('Enter Draw'!$C$3:$H$252,MATCH(SMALL('Enter Draw'!$J$3:$J$252,D11),'Enter Draw'!$J$3:$J$252,0),6),"")</f>
        <v>MIP Streakin Seltzer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Hayden Seitz</v>
      </c>
      <c r="H11" t="str">
        <f>IFERROR(INDEX('Enter Draw'!$E$3:$H$252,MATCH(SMALL('Enter Draw'!$K$3:$K$252,D11),'Enter Draw'!$K$3:$K$252,0),4),"")</f>
        <v>Jitter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Makayla Cross</v>
      </c>
      <c r="L11" t="str">
        <f>IFERROR(INDEX('Enter Draw'!$F$3:$H$252,MATCH(SMALL('Enter Draw'!$L$3:$L$252,I11),'Enter Draw'!$L$3:$L$252,0),3),"")</f>
        <v>Kix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oco</v>
      </c>
      <c r="O11" t="str">
        <f>IFERROR(INDEX('Enter Draw'!$A$3:$J$252,MATCH(SMALL('Enter Draw'!$M$3:$M$252,Q11),'Enter Draw'!$M$3:$M$252,0),7),"")</f>
        <v>Hayden Seitz</v>
      </c>
      <c r="P11" t="str">
        <f>IFERROR(INDEX('Enter Draw'!$A$3:$H$252,MATCH(SMALL('Enter Draw'!$M$3:$M$252,Q11),'Enter Draw'!$M$3:$M$252,0),8),"")</f>
        <v>Jitter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>oy</v>
      </c>
      <c r="Y11" t="str">
        <f>IFERROR(INDEX('Enter Draw'!$A$3:$J$252,MATCH(SMALL('Enter Draw'!$O$3:$O$252,Q11),'Enter Draw'!$O$3:$O$252,0),7),"")</f>
        <v>Hatty Fey</v>
      </c>
      <c r="Z11" t="str">
        <f>IFERROR(INDEX('Enter Draw'!$A$3:$H$252,MATCH(SMALL('Enter Draw'!$O$3:$O$252,Q11),'Enter Draw'!$O$3:$O$252,0),8),"")</f>
        <v>Sage</v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Rachel Kelderman</v>
      </c>
      <c r="C12" t="str">
        <f>IFERROR(INDEX('Enter Draw'!$C$3:$H$252,MATCH(SMALL('Enter Draw'!$J$3:$J$252,D12),'Enter Draw'!$J$3:$J$252,0),6),"")</f>
        <v xml:space="preserve">Lucy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Megan Rosendahl</v>
      </c>
      <c r="H12" t="str">
        <f>IFERROR(INDEX('Enter Draw'!$E$3:$H$252,MATCH(SMALL('Enter Draw'!$K$3:$K$252,D12),'Enter Draw'!$K$3:$K$252,0),4),"")</f>
        <v>A Dash of Jerzy Cash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Autumn Maxfield</v>
      </c>
      <c r="P12" t="str">
        <f>IFERROR(INDEX('Enter Draw'!$A$3:$H$252,MATCH(SMALL('Enter Draw'!$M$3:$M$252,Q12),'Enter Draw'!$M$3:$M$252,0),8),"")</f>
        <v>Split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>oy</v>
      </c>
      <c r="Y12" t="str">
        <f>IFERROR(INDEX('Enter Draw'!$A$3:$J$252,MATCH(SMALL('Enter Draw'!$O$3:$O$252,Q12),'Enter Draw'!$O$3:$O$252,0),7),"")</f>
        <v>Hayden Seitz</v>
      </c>
      <c r="Z12" t="str">
        <f>IFERROR(INDEX('Enter Draw'!$A$3:$H$252,MATCH(SMALL('Enter Draw'!$O$3:$O$252,Q12),'Enter Draw'!$O$3:$O$252,0),8),"")</f>
        <v>Jitter</v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Mike Boomgarden</v>
      </c>
      <c r="C14" t="str">
        <f>IFERROR(INDEX('Enter Draw'!$C$3:$H$252,MATCH(SMALL('Enter Draw'!$J$3:$J$252,D14),'Enter Draw'!$J$3:$J$252,0),6),"")</f>
        <v>Rook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Josey Fey</v>
      </c>
      <c r="H14" t="str">
        <f>IFERROR(INDEX('Enter Draw'!$E$3:$H$252,MATCH(SMALL('Enter Draw'!$K$3:$K$252,D14),'Enter Draw'!$K$3:$K$252,0),4),"")</f>
        <v>Gunning for Fame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Sierra Berg</v>
      </c>
      <c r="P14" t="str">
        <f>IFERROR(INDEX('Enter Draw'!$A$3:$H$252,MATCH(SMALL('Enter Draw'!$M$3:$M$252,Q14),'Enter Draw'!$M$3:$M$252,0),8),"")</f>
        <v>Houdini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>oy</v>
      </c>
      <c r="Y14" t="str">
        <f>IFERROR(INDEX('Enter Draw'!$A$3:$J$252,MATCH(SMALL('Enter Draw'!$O$3:$O$252,Q14),'Enter Draw'!$O$3:$O$252,0),7),"")</f>
        <v>Kennedy Stephens</v>
      </c>
      <c r="Z14" t="str">
        <f>IFERROR(INDEX('Enter Draw'!$A$3:$H$252,MATCH(SMALL('Enter Draw'!$O$3:$O$252,Q14),'Enter Draw'!$O$3:$O$252,0),8),"")</f>
        <v>Hollywood</v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Brittany Dieters</v>
      </c>
      <c r="C15" t="str">
        <f>IFERROR(INDEX('Enter Draw'!$C$3:$H$252,MATCH(SMALL('Enter Draw'!$J$3:$J$252,D15),'Enter Draw'!$J$3:$J$252,0),6),"")</f>
        <v>MS Holywood (Anna)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Kendall Gillen</v>
      </c>
      <c r="H15" t="str">
        <f>IFERROR(INDEX('Enter Draw'!$E$3:$H$252,MATCH(SMALL('Enter Draw'!$K$3:$K$252,D15),'Enter Draw'!$K$3:$K$252,0),4),"")</f>
        <v>Blue Eyes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Kendall Gillen</v>
      </c>
      <c r="P15" t="str">
        <f>IFERROR(INDEX('Enter Draw'!$A$3:$H$252,MATCH(SMALL('Enter Draw'!$M$3:$M$252,Q15),'Enter Draw'!$M$3:$M$252,0),8),"")</f>
        <v>Blue Eyes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Josey Fey</v>
      </c>
      <c r="C16" t="str">
        <f>IFERROR(INDEX('Enter Draw'!$C$3:$H$252,MATCH(SMALL('Enter Draw'!$J$3:$J$252,D16),'Enter Draw'!$J$3:$J$252,0),6),"")</f>
        <v>O SO Country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Kennedy Stephens</v>
      </c>
      <c r="H16" t="str">
        <f>IFERROR(INDEX('Enter Draw'!$E$3:$H$252,MATCH(SMALL('Enter Draw'!$K$3:$K$252,D16),'Enter Draw'!$K$3:$K$252,0),4),"")</f>
        <v>Hollywood</v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Shana Lensing</v>
      </c>
      <c r="P16" t="str">
        <f>IFERROR(INDEX('Enter Draw'!$A$3:$H$252,MATCH(SMALL('Enter Draw'!$M$3:$M$252,Q16),'Enter Draw'!$M$3:$M$252,0),8),"")</f>
        <v>Ultimate Dream Maker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Olivia Selleck</v>
      </c>
      <c r="C17" t="str">
        <f>IFERROR(INDEX('Enter Draw'!$C$3:$H$252,MATCH(SMALL('Enter Draw'!$J$3:$J$252,D17),'Enter Draw'!$J$3:$J$252,0),6),"")</f>
        <v>MMT Rebel In Motion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Hatty Fey</v>
      </c>
      <c r="H17" t="str">
        <f>IFERROR(INDEX('Enter Draw'!$E$3:$H$252,MATCH(SMALL('Enter Draw'!$K$3:$K$252,D17),'Enter Draw'!$K$3:$K$252,0),4),"")</f>
        <v>Maude</v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oy</v>
      </c>
      <c r="O17" t="str">
        <f>IFERROR(INDEX('Enter Draw'!$A$3:$J$252,MATCH(SMALL('Enter Draw'!$M$3:$M$252,Q17),'Enter Draw'!$M$3:$M$252,0),7),"")</f>
        <v>Quinn Gillen</v>
      </c>
      <c r="P17" t="str">
        <f>IFERROR(INDEX('Enter Draw'!$A$3:$H$252,MATCH(SMALL('Enter Draw'!$M$3:$M$252,Q17),'Enter Draw'!$M$3:$M$252,0),8),"")</f>
        <v>Blue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Hatty Fey</v>
      </c>
      <c r="C18" t="str">
        <f>IFERROR(INDEX('Enter Draw'!$C$3:$H$252,MATCH(SMALL('Enter Draw'!$J$3:$J$252,D18),'Enter Draw'!$J$3:$J$252,0),6),"")</f>
        <v>Maude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Hatty Fey</v>
      </c>
      <c r="H18" t="str">
        <f>IFERROR(INDEX('Enter Draw'!$E$3:$H$252,MATCH(SMALL('Enter Draw'!$K$3:$K$252,D18),'Enter Draw'!$K$3:$K$252,0),4),"")</f>
        <v>Sage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>oy</v>
      </c>
      <c r="O18" t="str">
        <f>IFERROR(INDEX('Enter Draw'!$A$3:$J$252,MATCH(SMALL('Enter Draw'!$M$3:$M$252,Q18),'Enter Draw'!$M$3:$M$252,0),7),"")</f>
        <v>Eva Schafer</v>
      </c>
      <c r="P18" t="str">
        <f>IFERROR(INDEX('Enter Draw'!$A$3:$H$252,MATCH(SMALL('Enter Draw'!$M$3:$M$252,Q18),'Enter Draw'!$M$3:$M$252,0),8),"")</f>
        <v>Zipper</v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Natalie Hieronimus</v>
      </c>
      <c r="C20" t="str">
        <f>IFERROR(INDEX('Enter Draw'!$C$3:$H$252,MATCH(SMALL('Enter Draw'!$J$3:$J$252,D20),'Enter Draw'!$J$3:$J$252,0),6),"")</f>
        <v>SH Chrome Ta Fame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co</v>
      </c>
      <c r="G20" t="str">
        <f>IFERROR(INDEX('Enter Draw'!$E$3:$H$252,MATCH(SMALL('Enter Draw'!$K$3:$K$252,D20),'Enter Draw'!$K$3:$K$252,0),3),"")</f>
        <v>Sara Jo Lamb</v>
      </c>
      <c r="H20" t="str">
        <f>IFERROR(INDEX('Enter Draw'!$E$3:$H$252,MATCH(SMALL('Enter Draw'!$K$3:$K$252,D20),'Enter Draw'!$K$3:$K$252,0),4),"")</f>
        <v>Last Chance Fling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>oy</v>
      </c>
      <c r="O20" t="str">
        <f>IFERROR(INDEX('Enter Draw'!$A$3:$J$252,MATCH(SMALL('Enter Draw'!$M$3:$M$252,Q20),'Enter Draw'!$M$3:$M$252,0),7),"")</f>
        <v>Josey Fey</v>
      </c>
      <c r="P20" t="str">
        <f>IFERROR(INDEX('Enter Draw'!$A$3:$H$252,MATCH(SMALL('Enter Draw'!$M$3:$M$252,Q20),'Enter Draw'!$M$3:$M$252,0),8),"")</f>
        <v>O SO Country</v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Kaitilynn Jorgensen</v>
      </c>
      <c r="C21" t="str">
        <f>IFERROR(INDEX('Enter Draw'!$C$3:$H$252,MATCH(SMALL('Enter Draw'!$J$3:$J$252,D21),'Enter Draw'!$J$3:$J$252,0),6),"")</f>
        <v xml:space="preserve">Kitty Dun It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co</v>
      </c>
      <c r="G21" t="str">
        <f>IFERROR(INDEX('Enter Draw'!$E$3:$H$252,MATCH(SMALL('Enter Draw'!$K$3:$K$252,D21),'Enter Draw'!$K$3:$K$252,0),3),"")</f>
        <v>Nicole VanWell</v>
      </c>
      <c r="H21" t="str">
        <f>IFERROR(INDEX('Enter Draw'!$E$3:$H$252,MATCH(SMALL('Enter Draw'!$K$3:$K$252,D21),'Enter Draw'!$K$3:$K$252,0),4),"")</f>
        <v>Flirty Ways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>oy</v>
      </c>
      <c r="O21" t="str">
        <f>IFERROR(INDEX('Enter Draw'!$A$3:$J$252,MATCH(SMALL('Enter Draw'!$M$3:$M$252,Q21),'Enter Draw'!$M$3:$M$252,0),7),"")</f>
        <v>Hatty Fey</v>
      </c>
      <c r="P21" t="str">
        <f>IFERROR(INDEX('Enter Draw'!$A$3:$H$252,MATCH(SMALL('Enter Draw'!$M$3:$M$252,Q21),'Enter Draw'!$M$3:$M$252,0),8),"")</f>
        <v>Maude</v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Kara Martin</v>
      </c>
      <c r="C22" t="str">
        <f>IFERROR(INDEX('Enter Draw'!$C$3:$H$252,MATCH(SMALL('Enter Draw'!$J$3:$J$252,D22),'Enter Draw'!$J$3:$J$252,0),6),"")</f>
        <v>Dasher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co</v>
      </c>
      <c r="G22" t="str">
        <f>IFERROR(INDEX('Enter Draw'!$E$3:$H$252,MATCH(SMALL('Enter Draw'!$K$3:$K$252,D22),'Enter Draw'!$K$3:$K$252,0),3),"")</f>
        <v>Elaine Hagen</v>
      </c>
      <c r="H22" t="str">
        <f>IFERROR(INDEX('Enter Draw'!$E$3:$H$252,MATCH(SMALL('Enter Draw'!$K$3:$K$252,D22),'Enter Draw'!$K$3:$K$252,0),4),"")</f>
        <v>MIP Streakin Seltzer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>oy</v>
      </c>
      <c r="O22" t="str">
        <f>IFERROR(INDEX('Enter Draw'!$A$3:$J$252,MATCH(SMALL('Enter Draw'!$M$3:$M$252,Q22),'Enter Draw'!$M$3:$M$252,0),7),"")</f>
        <v>Hatty Fey</v>
      </c>
      <c r="P22" t="str">
        <f>IFERROR(INDEX('Enter Draw'!$A$3:$H$252,MATCH(SMALL('Enter Draw'!$M$3:$M$252,Q22),'Enter Draw'!$M$3:$M$252,0),8),"")</f>
        <v>Sage</v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Kayla Pappendick</v>
      </c>
      <c r="C23" t="str">
        <f>IFERROR(INDEX('Enter Draw'!$C$3:$H$252,MATCH(SMALL('Enter Draw'!$J$3:$J$252,D23),'Enter Draw'!$J$3:$J$252,0),6),"")</f>
        <v>Buddy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co</v>
      </c>
      <c r="G23" t="str">
        <f>IFERROR(INDEX('Enter Draw'!$E$3:$H$252,MATCH(SMALL('Enter Draw'!$K$3:$K$252,D23),'Enter Draw'!$K$3:$K$252,0),3),"")</f>
        <v>Elaine Hagen</v>
      </c>
      <c r="H23" t="str">
        <f>IFERROR(INDEX('Enter Draw'!$E$3:$H$252,MATCH(SMALL('Enter Draw'!$K$3:$K$252,D23),'Enter Draw'!$K$3:$K$252,0),4),"")</f>
        <v>Sawyers Jo Glo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Deb Kruger</v>
      </c>
      <c r="C24" t="str">
        <f>IFERROR(INDEX('Enter Draw'!$C$3:$H$252,MATCH(SMALL('Enter Draw'!$J$3:$J$252,D24),'Enter Draw'!$J$3:$J$252,0),6),"")</f>
        <v>Fast Sassafrass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co</v>
      </c>
      <c r="G24" t="str">
        <f>IFERROR(INDEX('Enter Draw'!$E$3:$H$252,MATCH(SMALL('Enter Draw'!$K$3:$K$252,D24),'Enter Draw'!$K$3:$K$252,0),3),"")</f>
        <v xml:space="preserve">Pam Elshere </v>
      </c>
      <c r="H24" t="str">
        <f>IFERROR(INDEX('Enter Draw'!$E$3:$H$252,MATCH(SMALL('Enter Draw'!$K$3:$K$252,D24),'Enter Draw'!$K$3:$K$252,0),4),"")</f>
        <v>Secret Storm Bug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Pam Elshere </v>
      </c>
      <c r="C26" t="str">
        <f>IFERROR(INDEX('Enter Draw'!$C$3:$H$252,MATCH(SMALL('Enter Draw'!$J$3:$J$252,D26),'Enter Draw'!$J$3:$J$252,0),6),"")</f>
        <v>Secret Storm Bug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co</v>
      </c>
      <c r="G26" t="str">
        <f>IFERROR(INDEX('Enter Draw'!$E$3:$H$252,MATCH(SMALL('Enter Draw'!$K$3:$K$252,D26),'Enter Draw'!$K$3:$K$252,0),3),"")</f>
        <v>Jodie Greig</v>
      </c>
      <c r="H26" t="str">
        <f>IFERROR(INDEX('Enter Draw'!$E$3:$H$252,MATCH(SMALL('Enter Draw'!$K$3:$K$252,D26),'Enter Draw'!$K$3:$K$252,0),4),"")</f>
        <v xml:space="preserve">Streakin On Fame </v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Bailey Logan</v>
      </c>
      <c r="C27" t="str">
        <f>IFERROR(INDEX('Enter Draw'!$C$3:$H$252,MATCH(SMALL('Enter Draw'!$J$3:$J$252,D27),'Enter Draw'!$J$3:$J$252,0),6),"")</f>
        <v>BrucesPeppyGal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Andrea Hansen</v>
      </c>
      <c r="C28" t="str">
        <f>IFERROR(INDEX('Enter Draw'!$C$3:$H$252,MATCH(SMALL('Enter Draw'!$J$3:$J$252,D28),'Enter Draw'!$J$3:$J$252,0),6),"")</f>
        <v>Betty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Denise Benney</v>
      </c>
      <c r="C29" t="str">
        <f>IFERROR(INDEX('Enter Draw'!$C$3:$H$252,MATCH(SMALL('Enter Draw'!$J$3:$J$252,D29),'Enter Draw'!$J$3:$J$252,0),6),"")</f>
        <v>Cheyenne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Janice Roebuck</v>
      </c>
      <c r="C30" t="str">
        <f>IFERROR(INDEX('Enter Draw'!$C$3:$H$252,MATCH(SMALL('Enter Draw'!$J$3:$J$252,D30),'Enter Draw'!$J$3:$J$252,0),6),"")</f>
        <v>Holly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Sierra Berg</v>
      </c>
      <c r="C32" t="str">
        <f>IFERROR(INDEX('Enter Draw'!$C$3:$H$252,MATCH(SMALL('Enter Draw'!$J$3:$J$252,D32),'Enter Draw'!$J$3:$J$252,0),6),"")</f>
        <v>Houdini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Nicole VanWell</v>
      </c>
      <c r="C33" t="str">
        <f>IFERROR(INDEX('Enter Draw'!$C$3:$H$252,MATCH(SMALL('Enter Draw'!$J$3:$J$252,D33),'Enter Draw'!$J$3:$J$252,0),6),"")</f>
        <v>Slick Velvet Kat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Makayla Cross</v>
      </c>
      <c r="C34" t="str">
        <f>IFERROR(INDEX('Enter Draw'!$C$3:$H$252,MATCH(SMALL('Enter Draw'!$J$3:$J$252,D34),'Enter Draw'!$J$3:$J$252,0),6),"")</f>
        <v>Aishas Burnin Love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Shana Lensing</v>
      </c>
      <c r="C35" t="str">
        <f>IFERROR(INDEX('Enter Draw'!$C$3:$H$252,MATCH(SMALL('Enter Draw'!$J$3:$J$252,D35),'Enter Draw'!$J$3:$J$252,0),6),"")</f>
        <v>Dinkys Leroy Cash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Kristine DeBerg</v>
      </c>
      <c r="C36" t="str">
        <f>IFERROR(INDEX('Enter Draw'!$C$3:$H$252,MATCH(SMALL('Enter Draw'!$J$3:$J$252,D36),'Enter Draw'!$J$3:$J$252,0),6),"")</f>
        <v>Streakinblondelegacy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Candice Aamot</v>
      </c>
      <c r="C38" t="str">
        <f>IFERROR(INDEX('Enter Draw'!$C$3:$H$252,MATCH(SMALL('Enter Draw'!$J$3:$J$252,D38),'Enter Draw'!$J$3:$J$252,0),6),"")</f>
        <v>Streaker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Autumn Maxfield</v>
      </c>
      <c r="C39" t="str">
        <f>IFERROR(INDEX('Enter Draw'!$C$3:$H$252,MATCH(SMALL('Enter Draw'!$J$3:$J$252,D39),'Enter Draw'!$J$3:$J$252,0),6),"")</f>
        <v>Split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Kayleigh Maras</v>
      </c>
      <c r="C40" t="str">
        <f>IFERROR(INDEX('Enter Draw'!$C$3:$H$252,MATCH(SMALL('Enter Draw'!$J$3:$J$252,D40),'Enter Draw'!$J$3:$J$252,0),6),"")</f>
        <v>Mayor Perks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Jackie Feikema</v>
      </c>
      <c r="C41" t="str">
        <f>IFERROR(INDEX('Enter Draw'!$C$3:$H$252,MATCH(SMALL('Enter Draw'!$J$3:$J$252,D41),'Enter Draw'!$J$3:$J$252,0),6),"")</f>
        <v>Marked With Chrome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Kendall Gillen</v>
      </c>
      <c r="C42" t="str">
        <f>IFERROR(INDEX('Enter Draw'!$C$3:$H$252,MATCH(SMALL('Enter Draw'!$J$3:$J$252,D42),'Enter Draw'!$J$3:$J$252,0),6),"")</f>
        <v>Blue Eyes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Lenae Wiersma</v>
      </c>
      <c r="C44" t="str">
        <f>IFERROR(INDEX('Enter Draw'!$C$3:$H$252,MATCH(SMALL('Enter Draw'!$J$3:$J$252,D44),'Enter Draw'!$J$3:$J$252,0),6),"")</f>
        <v>TBD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Aleah Marco</v>
      </c>
      <c r="C45" t="str">
        <f>IFERROR(INDEX('Enter Draw'!$C$3:$H$252,MATCH(SMALL('Enter Draw'!$J$3:$J$252,D45),'Enter Draw'!$J$3:$J$252,0),6),"")</f>
        <v>Premier Passum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Kamber Bosse</v>
      </c>
      <c r="C46" t="str">
        <f>IFERROR(INDEX('Enter Draw'!$C$3:$H$252,MATCH(SMALL('Enter Draw'!$J$3:$J$252,D46),'Enter Draw'!$J$3:$J$252,0),6),"")</f>
        <v>ACSparklinMoonshine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Hayden Seitz</v>
      </c>
      <c r="C47" t="str">
        <f>IFERROR(INDEX('Enter Draw'!$C$3:$H$252,MATCH(SMALL('Enter Draw'!$J$3:$J$252,D47),'Enter Draw'!$J$3:$J$252,0),6),"")</f>
        <v>Jitter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Jodie Greig</v>
      </c>
      <c r="C48" t="str">
        <f>IFERROR(INDEX('Enter Draw'!$C$3:$H$252,MATCH(SMALL('Enter Draw'!$J$3:$J$252,D48),'Enter Draw'!$J$3:$J$252,0),6),"")</f>
        <v xml:space="preserve">Streakin On Fame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Pam Vankekerix</v>
      </c>
      <c r="C50" t="str">
        <f>IFERROR(INDEX('Enter Draw'!$C$3:$H$252,MATCH(SMALL('Enter Draw'!$J$3:$J$252,D50),'Enter Draw'!$J$3:$J$252,0),6),"")</f>
        <v>JPS Kas IM stylish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Kristan Soukup</v>
      </c>
      <c r="C51" t="str">
        <f>IFERROR(INDEX('Enter Draw'!$C$3:$H$252,MATCH(SMALL('Enter Draw'!$J$3:$J$252,D51),'Enter Draw'!$J$3:$J$252,0),6),"")</f>
        <v>PC Sun Needs Fame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Sara Jo Lamb</v>
      </c>
      <c r="C52" t="str">
        <f>IFERROR(INDEX('Enter Draw'!$C$3:$H$252,MATCH(SMALL('Enter Draw'!$J$3:$J$252,D52),'Enter Draw'!$J$3:$J$252,0),6),"")</f>
        <v>Last Chance Fling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Megan Thorson</v>
      </c>
      <c r="C53" t="str">
        <f>IFERROR(INDEX('Enter Draw'!$C$3:$H$252,MATCH(SMALL('Enter Draw'!$J$3:$J$252,D53),'Enter Draw'!$J$3:$J$252,0),6),"")</f>
        <v>MMT Rox My World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Anne Ammot</v>
      </c>
      <c r="C54" t="str">
        <f>IFERROR(INDEX('Enter Draw'!$C$3:$H$252,MATCH(SMALL('Enter Draw'!$J$3:$J$252,D54),'Enter Draw'!$J$3:$J$252,0),6),"")</f>
        <v>Hattie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Lily Kenny</v>
      </c>
      <c r="C56" t="str">
        <f>IFERROR(INDEX('Enter Draw'!$C$3:$H$252,MATCH(SMALL('Enter Draw'!$J$3:$J$252,D56),'Enter Draw'!$J$3:$J$252,0),6),"")</f>
        <v>Lanes Golden Money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Rachel Kelderman</v>
      </c>
      <c r="C57" t="str">
        <f>IFERROR(INDEX('Enter Draw'!$C$3:$H$252,MATCH(SMALL('Enter Draw'!$J$3:$J$252,D57),'Enter Draw'!$J$3:$J$252,0),6),"")</f>
        <v>Leo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Megan Rosendahl</v>
      </c>
      <c r="C58" t="str">
        <f>IFERROR(INDEX('Enter Draw'!$C$3:$H$252,MATCH(SMALL('Enter Draw'!$J$3:$J$252,D58),'Enter Draw'!$J$3:$J$252,0),6),"")</f>
        <v>A Dash of Jerzy Cash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Brittany Dieters</v>
      </c>
      <c r="C59" t="str">
        <f>IFERROR(INDEX('Enter Draw'!$C$3:$H$252,MATCH(SMALL('Enter Draw'!$J$3:$J$252,D59),'Enter Draw'!$J$3:$J$252,0),6),"")</f>
        <v>Carl's Bad Cat (Maui)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Eva Schafer</v>
      </c>
      <c r="C60" t="str">
        <f>IFERROR(INDEX('Enter Draw'!$C$3:$H$252,MATCH(SMALL('Enter Draw'!$J$3:$J$252,D60),'Enter Draw'!$J$3:$J$252,0),6),"")</f>
        <v>Zipper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Mike Boomgarden</v>
      </c>
      <c r="C62" t="str">
        <f>IFERROR(INDEX('Enter Draw'!$C$3:$H$252,MATCH(SMALL('Enter Draw'!$J$3:$J$252,D62),'Enter Draw'!$J$3:$J$252,0),6),"")</f>
        <v>Peanut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Joslyn Deknikker</v>
      </c>
      <c r="C63" t="str">
        <f>IFERROR(INDEX('Enter Draw'!$C$3:$H$252,MATCH(SMALL('Enter Draw'!$J$3:$J$252,D63),'Enter Draw'!$J$3:$J$252,0),6),"")</f>
        <v>Chexies Smoke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Olivia Selleck</v>
      </c>
      <c r="C64" t="str">
        <f>IFERROR(INDEX('Enter Draw'!$C$3:$H$252,MATCH(SMALL('Enter Draw'!$J$3:$J$252,D64),'Enter Draw'!$J$3:$J$252,0),6),"")</f>
        <v>TresTimesTheDynamite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Quinn Gillen</v>
      </c>
      <c r="C65" t="str">
        <f>IFERROR(INDEX('Enter Draw'!$C$3:$H$252,MATCH(SMALL('Enter Draw'!$J$3:$J$252,D65),'Enter Draw'!$J$3:$J$252,0),6),"")</f>
        <v>Blue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Kristi Cleland</v>
      </c>
      <c r="C66" t="str">
        <f>IFERROR(INDEX('Enter Draw'!$C$3:$H$252,MATCH(SMALL('Enter Draw'!$J$3:$J$252,D66),'Enter Draw'!$J$3:$J$252,0),6),"")</f>
        <v>Fergie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Erica Traut</v>
      </c>
      <c r="C68" t="str">
        <f>IFERROR(INDEX('Enter Draw'!$C$3:$H$252,MATCH(SMALL('Enter Draw'!$J$3:$J$252,D68),'Enter Draw'!$J$3:$J$252,0),6),"")</f>
        <v>RDC Eym French Nrare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Karen Clausen</v>
      </c>
      <c r="C69" t="str">
        <f>IFERROR(INDEX('Enter Draw'!$C$3:$H$252,MATCH(SMALL('Enter Draw'!$J$3:$J$252,D69),'Enter Draw'!$J$3:$J$252,0),6),"")</f>
        <v>SRR Cougar Cat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Penny Schlagel</v>
      </c>
      <c r="C70" t="str">
        <f>IFERROR(INDEX('Enter Draw'!$C$3:$H$252,MATCH(SMALL('Enter Draw'!$J$3:$J$252,D70),'Enter Draw'!$J$3:$J$252,0),6),"")</f>
        <v>BI Serendipity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Josey Fey</v>
      </c>
      <c r="C71" t="str">
        <f>IFERROR(INDEX('Enter Draw'!$C$3:$H$252,MATCH(SMALL('Enter Draw'!$J$3:$J$252,D71),'Enter Draw'!$J$3:$J$252,0),6),"")</f>
        <v>Gunning for Fame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Hatty Fey</v>
      </c>
      <c r="C72" t="str">
        <f>IFERROR(INDEX('Enter Draw'!$C$3:$H$252,MATCH(SMALL('Enter Draw'!$J$3:$J$252,D72),'Enter Draw'!$J$3:$J$252,0),6),"")</f>
        <v>Sage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>Jamie Zuidema</v>
      </c>
      <c r="C74" t="str">
        <f>IFERROR(INDEX('Enter Draw'!$C$3:$H$252,MATCH(SMALL('Enter Draw'!$J$3:$J$252,D74),'Enter Draw'!$J$3:$J$252,0),6),"")</f>
        <v xml:space="preserve">Lucy 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>Natalie Hieronimus</v>
      </c>
      <c r="C75" t="str">
        <f>IFERROR(INDEX('Enter Draw'!$C$3:$H$252,MATCH(SMALL('Enter Draw'!$J$3:$J$252,D75),'Enter Draw'!$J$3:$J$252,0),6),"")</f>
        <v>Charlie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>Kara Martin</v>
      </c>
      <c r="C76" t="str">
        <f>IFERROR(INDEX('Enter Draw'!$C$3:$H$252,MATCH(SMALL('Enter Draw'!$J$3:$J$252,D76),'Enter Draw'!$J$3:$J$252,0),6),"")</f>
        <v>Reno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>Elaine Hagen</v>
      </c>
      <c r="C77" t="str">
        <f>IFERROR(INDEX('Enter Draw'!$C$3:$H$252,MATCH(SMALL('Enter Draw'!$J$3:$J$252,D77),'Enter Draw'!$J$3:$J$252,0),6),"")</f>
        <v>Sawyers Jo Glo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>Sara Jo Lamb</v>
      </c>
      <c r="C78" t="str">
        <f>IFERROR(INDEX('Enter Draw'!$C$3:$H$252,MATCH(SMALL('Enter Draw'!$J$3:$J$252,D78),'Enter Draw'!$J$3:$J$252,0),6),"")</f>
        <v>Takin on a Goldmine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>Makayla Cross</v>
      </c>
      <c r="C80" t="str">
        <f>IFERROR(INDEX('Enter Draw'!$C$3:$H$252,MATCH(SMALL('Enter Draw'!$J$3:$J$252,D80),'Enter Draw'!$J$3:$J$252,0),6),"")</f>
        <v>Kix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>Shana Lensing</v>
      </c>
      <c r="C81" t="str">
        <f>IFERROR(INDEX('Enter Draw'!$C$3:$H$252,MATCH(SMALL('Enter Draw'!$J$3:$J$252,D81),'Enter Draw'!$J$3:$J$252,0),6),"")</f>
        <v>Ultimate Dream Maker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>Kristine DeBerg</v>
      </c>
      <c r="C82" t="str">
        <f>IFERROR(INDEX('Enter Draw'!$C$3:$H$252,MATCH(SMALL('Enter Draw'!$J$3:$J$252,D82),'Enter Draw'!$J$3:$J$252,0),6),"")</f>
        <v>Chicks Share of Fame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>
        <f>IF(B83="","",IF(INDEX('Enter Draw'!$C$3:$H$252,MATCH(SMALL('Enter Draw'!$J$3:$J$252,D83),'Enter Draw'!$J$3:$J$252,0),1)="yco","yco",D83))</f>
        <v>69</v>
      </c>
      <c r="B83" t="str">
        <f>IFERROR(INDEX('Enter Draw'!$C$3:$J$252,MATCH(SMALL('Enter Draw'!$J$3:$J$252,D83),'Enter Draw'!$J$3:$J$252,0),5),"")</f>
        <v>Nicole VanWell</v>
      </c>
      <c r="C83" t="str">
        <f>IFERROR(INDEX('Enter Draw'!$C$3:$H$252,MATCH(SMALL('Enter Draw'!$J$3:$J$252,D83),'Enter Draw'!$J$3:$J$252,0),6),"")</f>
        <v>Flirty Ways</v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>
        <f>IF(B84="","",IF(INDEX('Enter Draw'!$C$3:$H$252,MATCH(SMALL('Enter Draw'!$J$3:$J$252,D84),'Enter Draw'!$J$3:$J$252,0),1)="yco","yco",D84))</f>
        <v>70</v>
      </c>
      <c r="B84" t="str">
        <f>IFERROR(INDEX('Enter Draw'!$C$3:$J$252,MATCH(SMALL('Enter Draw'!$J$3:$J$252,D84),'Enter Draw'!$J$3:$J$252,0),5),"")</f>
        <v>Carrie Dieters</v>
      </c>
      <c r="C84" t="str">
        <f>IFERROR(INDEX('Enter Draw'!$C$3:$H$252,MATCH(SMALL('Enter Draw'!$J$3:$J$252,D84),'Enter Draw'!$J$3:$J$252,0),6),"")</f>
        <v>A Guy With Fame</v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>
        <f>IF(B86="","",IF(INDEX('Enter Draw'!$C$3:$H$252,MATCH(SMALL('Enter Draw'!$J$3:$J$252,D86),'Enter Draw'!$J$3:$J$252,0),1)="yco","yco",D86))</f>
        <v>71</v>
      </c>
      <c r="B86" t="str">
        <f>IFERROR(INDEX('Enter Draw'!$C$3:$J$252,MATCH(SMALL('Enter Draw'!$J$3:$J$252,D86),'Enter Draw'!$J$3:$J$252,0),5),"")</f>
        <v>Kara Martin</v>
      </c>
      <c r="C86" t="str">
        <f>IFERROR(INDEX('Enter Draw'!$C$3:$H$252,MATCH(SMALL('Enter Draw'!$J$3:$J$252,D86),'Enter Draw'!$J$3:$J$252,0),6),"")</f>
        <v>Flame</v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C9" sqref="C9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/>
      <c r="B2" s="23" t="s">
        <v>181</v>
      </c>
      <c r="C2" s="23" t="s">
        <v>182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/>
      <c r="B3" s="23" t="s">
        <v>226</v>
      </c>
      <c r="C3" s="23" t="s">
        <v>227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/>
      <c r="B4" s="23" t="s">
        <v>237</v>
      </c>
      <c r="C4" s="23" t="s">
        <v>238</v>
      </c>
      <c r="D4" s="61"/>
      <c r="E4" s="106">
        <v>2.9999999999999998E-14</v>
      </c>
      <c r="F4" s="107" t="str">
        <f t="shared" si="0"/>
        <v/>
      </c>
    </row>
    <row r="5" spans="1:7">
      <c r="A5" s="22"/>
      <c r="B5" s="23" t="s">
        <v>242</v>
      </c>
      <c r="C5" s="23" t="s">
        <v>243</v>
      </c>
      <c r="D5" s="62"/>
      <c r="E5" s="106">
        <v>4E-14</v>
      </c>
      <c r="F5" s="107" t="str">
        <f t="shared" si="0"/>
        <v/>
      </c>
    </row>
    <row r="6" spans="1:7">
      <c r="A6" s="22"/>
      <c r="B6" s="23" t="s">
        <v>240</v>
      </c>
      <c r="C6" s="23"/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">
        <v>241</v>
      </c>
      <c r="C7" s="23" t="s">
        <v>243</v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">
        <v>239</v>
      </c>
      <c r="C8" s="23"/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">
        <v>245</v>
      </c>
      <c r="C9" s="23" t="s">
        <v>246</v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BC286"/>
  <sheetViews>
    <sheetView zoomScale="70" zoomScaleNormal="70" workbookViewId="0">
      <pane ySplit="1" topLeftCell="A2" activePane="bottomLeft" state="frozen"/>
      <selection pane="bottomLeft" activeCell="BF38" sqref="BF38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6.8554687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2.85546875" style="2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55" width="16.7109375" style="21" hidden="1" customWidth="1"/>
    <col min="56" max="59" width="16.7109375" style="21" customWidth="1"/>
    <col min="6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/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Kristine DeBerg</v>
      </c>
      <c r="C2" s="23" t="str">
        <f>IFERROR(Draw!C2,"")</f>
        <v>Jessfrostmycake</v>
      </c>
      <c r="D2" s="203">
        <v>14.659000000000001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14.659000001000001</v>
      </c>
      <c r="G2" s="107">
        <f>IF(F2&lt;4000,F2,"")</f>
        <v>14.659000001000001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Kristine DeBergJessfrostmycake</v>
      </c>
      <c r="U2" s="109">
        <f>D2</f>
        <v>14.659000000000001</v>
      </c>
      <c r="W2" s="3" t="str">
        <f>IFERROR(VLOOKUP('Open 1'!F2,$AD$3:$AE$7,2,TRUE),"")</f>
        <v>2D</v>
      </c>
      <c r="X2" s="8" t="str">
        <f>IFERROR(IF(W2=$X$1,'Open 1'!F2,""),"")</f>
        <v/>
      </c>
      <c r="Y2" s="8">
        <f>IFERROR(IF(W2=$Y$1,'Open 1'!F2,""),"")</f>
        <v>14.659000001000001</v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Cami Wolles</v>
      </c>
      <c r="C3" s="23" t="str">
        <f>IFERROR(Draw!C3,"")</f>
        <v>Nellie</v>
      </c>
      <c r="D3" s="60">
        <v>14.09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14.090000002</v>
      </c>
      <c r="G3" s="107">
        <f t="shared" ref="G3:G66" si="0">IF(F3&lt;4000,F3,"")</f>
        <v>14.090000002</v>
      </c>
      <c r="H3" s="90" t="str">
        <f>IF(A3="yco",VLOOKUP(CONCATENATE(B3,C3),Youth!S:T,2,FALSE),IF(OR(AND(D3&gt;1,D3&lt;1050),D3="nt",D3="",D3="scratch"),"","Not valid"))</f>
        <v/>
      </c>
      <c r="I3" s="260" t="s">
        <v>80</v>
      </c>
      <c r="J3" s="261"/>
      <c r="K3" s="190"/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Cami WollesNellie</v>
      </c>
      <c r="U3" s="109">
        <f t="shared" ref="U3:U66" si="2">D3</f>
        <v>14.09</v>
      </c>
      <c r="W3" s="3" t="str">
        <f>IFERROR(VLOOKUP('Open 1'!F3,$AD$3:$AE$7,2,TRUE),"")</f>
        <v>1D</v>
      </c>
      <c r="X3" s="8">
        <f>IFERROR(IF(W3=$X$1,'Open 1'!F3,""),"")</f>
        <v>14.090000002</v>
      </c>
      <c r="Y3" s="8" t="str">
        <f>IFERROR(IF(W3=$Y$1,'Open 1'!F3,""),"")</f>
        <v/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14.013000013999999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Shana Lensing</v>
      </c>
      <c r="C4" s="23" t="str">
        <f>IFERROR(Draw!C4,"")</f>
        <v>Sages Lil Peppy Doc</v>
      </c>
      <c r="D4" s="61">
        <v>14.177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14.177000003</v>
      </c>
      <c r="G4" s="107">
        <f t="shared" si="0"/>
        <v>14.177000003</v>
      </c>
      <c r="H4" s="90" t="str">
        <f>IF(A4="yco",VLOOKUP(CONCATENATE(B4,C4),Youth!S:T,2,FALSE),IF(OR(AND(D4&gt;1,D4&lt;1050),D4="nt",D4="",D4="scratch"),"","Not valid"))</f>
        <v/>
      </c>
      <c r="I4" s="24"/>
      <c r="M4" s="262" t="s">
        <v>3</v>
      </c>
      <c r="N4" s="211" t="str">
        <f>AE10</f>
        <v>1st</v>
      </c>
      <c r="O4" s="83" t="str">
        <f>'Open 1'!AF10</f>
        <v>Brittany Dieters</v>
      </c>
      <c r="P4" s="83" t="str">
        <f>'Open 1'!AG10</f>
        <v>MS Holywood (Anna)</v>
      </c>
      <c r="Q4" s="212">
        <f>'Open 1'!AH10</f>
        <v>14.013000013999999</v>
      </c>
      <c r="R4" s="181">
        <f>AI10</f>
        <v>267.33</v>
      </c>
      <c r="S4" s="217" t="str">
        <f>IF(N4="Tie",AL10,"")</f>
        <v/>
      </c>
      <c r="T4" s="21" t="str">
        <f t="shared" si="1"/>
        <v>Shana LensingSages Lil Peppy Doc</v>
      </c>
      <c r="U4" s="109">
        <f t="shared" si="2"/>
        <v>14.177</v>
      </c>
      <c r="W4" s="3" t="str">
        <f>IFERROR(VLOOKUP('Open 1'!F4,$AD$3:$AE$7,2,TRUE),"")</f>
        <v>1D</v>
      </c>
      <c r="X4" s="8">
        <f>IFERROR(IF(W4=$X$1,'Open 1'!F4,""),"")</f>
        <v>14.177000003</v>
      </c>
      <c r="Y4" s="8" t="str">
        <f>IFERROR(IF(W4=$Y$1,'Open 1'!F4,""),"")</f>
        <v/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14.513000013999999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267.33</v>
      </c>
      <c r="AS4" s="177">
        <f>HLOOKUP($K$11,$AM$3:$AQ$8,2,TRUE)*AS$9</f>
        <v>229.14000000000001</v>
      </c>
      <c r="AT4" s="177">
        <f>HLOOKUP($K$11,$AM$3:$AQ$8,2,TRUE)*AT$9</f>
        <v>152.76000000000002</v>
      </c>
      <c r="AU4" s="177">
        <f>HLOOKUP($K$11,$AM$3:$AQ$8,2,TRUE)*AU$9</f>
        <v>114.57000000000001</v>
      </c>
    </row>
    <row r="5" spans="1:50" ht="16.5" thickBot="1">
      <c r="A5" s="22">
        <f>IF(B5="","",Draw!A5)</f>
        <v>4</v>
      </c>
      <c r="B5" s="23" t="str">
        <f>IFERROR(Draw!B5,"")</f>
        <v>Makayla Cross</v>
      </c>
      <c r="C5" s="23" t="str">
        <f>IFERROR(Draw!C5,"")</f>
        <v>Jacks Dashin Destiny</v>
      </c>
      <c r="D5" s="62">
        <v>14.565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14.565000004</v>
      </c>
      <c r="G5" s="107">
        <f t="shared" si="0"/>
        <v>14.565000004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14.013000013999999</v>
      </c>
      <c r="M5" s="263"/>
      <c r="N5" s="37" t="str">
        <f>IF($K$13&lt;"2","",IF(AE11="Tie","Tie",AE11))</f>
        <v>2nd</v>
      </c>
      <c r="O5" s="26" t="str">
        <f>IF(N5="","",'Open 1'!AF11)</f>
        <v>Cami Wolles</v>
      </c>
      <c r="P5" s="26" t="str">
        <f>IF(O5="","",'Open 1'!AG11)</f>
        <v>Nellie</v>
      </c>
      <c r="Q5" s="48">
        <f>IF(P5="","",'Open 1'!AH11)</f>
        <v>14.090000002</v>
      </c>
      <c r="R5" s="182">
        <f>AI11</f>
        <v>200.49749999999997</v>
      </c>
      <c r="S5" s="217" t="str">
        <f t="shared" ref="S5:S8" si="3">IF(N5="Tie",AL11,"")</f>
        <v/>
      </c>
      <c r="T5" s="21" t="str">
        <f t="shared" si="1"/>
        <v>Makayla CrossJacks Dashin Destiny</v>
      </c>
      <c r="U5" s="109">
        <f t="shared" si="2"/>
        <v>14.565</v>
      </c>
      <c r="W5" s="3" t="str">
        <f>IFERROR(VLOOKUP('Open 1'!F5,$AD$3:$AE$7,2,TRUE),"")</f>
        <v>2D</v>
      </c>
      <c r="X5" s="8" t="str">
        <f>IFERROR(IF(W5=$X$1,'Open 1'!F5,""),"")</f>
        <v/>
      </c>
      <c r="Y5" s="8">
        <f>IFERROR(IF(W5=$Y$1,'Open 1'!F5,""),"")</f>
        <v>14.565000004</v>
      </c>
      <c r="Z5" s="8" t="str">
        <f>IFERROR(IF(W5=$Z$1,'Open 1'!F5,""),"")</f>
        <v/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15.013000013999999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200.49749999999997</v>
      </c>
      <c r="AS5" s="177">
        <f>HLOOKUP($K$11,$AM$3:$AQ$8,3,TRUE)*AS$9</f>
        <v>171.85499999999999</v>
      </c>
      <c r="AT5" s="177">
        <f>HLOOKUP($K$11,$AM$3:$AQ$8,3,TRUE)*AT$9</f>
        <v>114.57000000000001</v>
      </c>
      <c r="AU5" s="177">
        <f>HLOOKUP($K$11,$AM$3:$AQ$8,3,TRUE)*AU$9</f>
        <v>85.927499999999995</v>
      </c>
    </row>
    <row r="6" spans="1:50" ht="16.5" thickBot="1">
      <c r="A6" s="22">
        <f>IF(B6="","",Draw!A6)</f>
        <v>5</v>
      </c>
      <c r="B6" s="23" t="str">
        <f>IFERROR(Draw!B6,"")</f>
        <v>Aleah Marco</v>
      </c>
      <c r="C6" s="23" t="str">
        <f>IFERROR(Draw!C6,"")</f>
        <v>Premier Passum</v>
      </c>
      <c r="D6" s="62">
        <v>15.907999999999999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15.908000005</v>
      </c>
      <c r="G6" s="107">
        <f t="shared" si="0"/>
        <v>15.908000005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14.513000013999999</v>
      </c>
      <c r="M6" s="263"/>
      <c r="N6" s="37" t="str">
        <f>IF($K$13&lt;"3","",IF(AE12="Tie","Tie",AE12))</f>
        <v>3rd</v>
      </c>
      <c r="O6" s="26" t="str">
        <f>IF(N6="","",'Open 1'!AF12)</f>
        <v>Shana Lensing</v>
      </c>
      <c r="P6" s="26" t="str">
        <f>IF(O6="","",'Open 1'!AG12)</f>
        <v>Sages Lil Peppy Doc</v>
      </c>
      <c r="Q6" s="48">
        <f>IF(P6="","",'Open 1'!AH12)</f>
        <v>14.177000003</v>
      </c>
      <c r="R6" s="182">
        <f>AI12</f>
        <v>133.66499999999999</v>
      </c>
      <c r="S6" s="217" t="str">
        <f t="shared" si="3"/>
        <v/>
      </c>
      <c r="T6" s="21" t="str">
        <f t="shared" si="1"/>
        <v>Aleah MarcoPremier Passum</v>
      </c>
      <c r="U6" s="109">
        <f t="shared" si="2"/>
        <v>15.907999999999999</v>
      </c>
      <c r="W6" s="3" t="str">
        <f>IFERROR(VLOOKUP('Open 1'!F6,$AD$3:$AE$7,2,TRUE),"")</f>
        <v>3D</v>
      </c>
      <c r="X6" s="8" t="str">
        <f>IFERROR(IF(W6=$X$1,'Open 1'!F6,""),"")</f>
        <v/>
      </c>
      <c r="Y6" s="8" t="str">
        <f>IFERROR(IF(W6=$Y$1,'Open 1'!F6,""),"")</f>
        <v/>
      </c>
      <c r="Z6" s="8">
        <f>IFERROR(IF(W6=$Z$1,'Open 1'!F6,""),"")</f>
        <v>15.908000005</v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16.013000013999999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133.66499999999999</v>
      </c>
      <c r="AS6" s="177">
        <f>HLOOKUP($K$11,$AM$3:$AQ$8,4,TRUE)*AS$9</f>
        <v>114.57000000000001</v>
      </c>
      <c r="AT6" s="177">
        <f>HLOOKUP($K$11,$AM$3:$AQ$8,4,TRUE)*AT$9</f>
        <v>76.38000000000001</v>
      </c>
      <c r="AU6" s="177">
        <f>HLOOKUP($K$11,$AM$3:$AQ$8,4,TRUE)*AU$9</f>
        <v>57.285000000000004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15.013000013999999</v>
      </c>
      <c r="M7" s="263"/>
      <c r="N7" s="37" t="str">
        <f>IF($K$13&lt;"4","",IF(AE13="Tie","Tie",AE13))</f>
        <v>4th</v>
      </c>
      <c r="O7" s="26" t="str">
        <f>IF(N7="","",'Open 1'!AF13)</f>
        <v>Makayla Cross</v>
      </c>
      <c r="P7" s="26" t="str">
        <f>IF(O7="","",'Open 1'!AG13)</f>
        <v>Aishas Burnin Love</v>
      </c>
      <c r="Q7" s="48">
        <f>IF(P7="","",'Open 1'!AH13)</f>
        <v>14.220000033</v>
      </c>
      <c r="R7" s="182">
        <f>AI13</f>
        <v>66.832499999999996</v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66.832499999999996</v>
      </c>
      <c r="AS7" s="177">
        <f>HLOOKUP($K$11,$AM$3:$AQ$8,5,TRUE)*AS$9</f>
        <v>57.285000000000004</v>
      </c>
      <c r="AT7" s="177">
        <f>HLOOKUP($K$11,$AM$3:$AQ$8,5,TRUE)*AT$9</f>
        <v>38.190000000000005</v>
      </c>
      <c r="AU7" s="177">
        <f>HLOOKUP($K$11,$AM$3:$AQ$8,5,TRUE)*AU$9</f>
        <v>28.642500000000002</v>
      </c>
    </row>
    <row r="8" spans="1:50" ht="16.5" thickBot="1">
      <c r="A8" s="22">
        <f>IF(B8="","",Draw!A8)</f>
        <v>6</v>
      </c>
      <c r="B8" s="23" t="str">
        <f>IFERROR(Draw!B8,"")</f>
        <v>Megan Thorson</v>
      </c>
      <c r="C8" s="23" t="str">
        <f>IFERROR(Draw!C8,"")</f>
        <v>Rocky Rio Rebel</v>
      </c>
      <c r="D8" s="61">
        <v>16.239000000000001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16.239000007000001</v>
      </c>
      <c r="G8" s="107">
        <f t="shared" si="0"/>
        <v>16.239000007000001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16.013000013999999</v>
      </c>
      <c r="M8" s="264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Megan ThorsonRocky Rio Rebel</v>
      </c>
      <c r="U8" s="109">
        <f t="shared" si="2"/>
        <v>16.239000000000001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16.239000007000001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Lily Kenny</v>
      </c>
      <c r="C9" s="23" t="str">
        <f>IFERROR(Draw!C9,"")</f>
        <v>Alive with Trouble ( Soldier)</v>
      </c>
      <c r="D9" s="60">
        <v>915.19399999999996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915.19400000799999</v>
      </c>
      <c r="G9" s="107">
        <f t="shared" si="0"/>
        <v>915.19400000799999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Lily KennyAlive with Trouble ( Soldier)</v>
      </c>
      <c r="U9" s="109">
        <f t="shared" si="2"/>
        <v>915.19399999999996</v>
      </c>
      <c r="W9" s="3" t="str">
        <f>IFERROR(VLOOKUP('Open 1'!F9,$AD$3:$AE$7,2,TRUE),"")</f>
        <v>4D</v>
      </c>
      <c r="X9" s="8" t="str">
        <f>IFERROR(IF(W9=$X$1,'Open 1'!F9,""),"")</f>
        <v/>
      </c>
      <c r="Y9" s="8" t="str">
        <f>IFERROR(IF(W9=$Y$1,'Open 1'!F9,""),"")</f>
        <v/>
      </c>
      <c r="Z9" s="8" t="str">
        <f>IFERROR(IF(W9=$Z$1,'Open 1'!F9,""),"")</f>
        <v/>
      </c>
      <c r="AA9" s="8">
        <f>IFERROR(IF($W9=$AA$1,'Open 1'!F9,""),"")</f>
        <v>915.19400000799999</v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668.32499999999993</v>
      </c>
      <c r="AS9" s="176">
        <f>AS2*$AP$12</f>
        <v>572.85</v>
      </c>
      <c r="AT9" s="176">
        <f>AT2*$AP$12</f>
        <v>381.90000000000003</v>
      </c>
      <c r="AU9" s="176">
        <f>AU2*$AP$12</f>
        <v>286.42500000000001</v>
      </c>
    </row>
    <row r="10" spans="1:50" ht="16.5" thickBot="1">
      <c r="A10" s="22">
        <f>IF(B10="","",Draw!A10)</f>
        <v>8</v>
      </c>
      <c r="B10" s="23" t="str">
        <f>IFERROR(Draw!B10,"")</f>
        <v>Kristan Soukup</v>
      </c>
      <c r="C10" s="23" t="str">
        <f>IFERROR(Draw!C10,"")</f>
        <v>PC Remarkable</v>
      </c>
      <c r="D10" s="59">
        <v>15.622999999999999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15.623000009</v>
      </c>
      <c r="G10" s="107">
        <f t="shared" si="0"/>
        <v>15.623000009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5" t="s">
        <v>4</v>
      </c>
      <c r="N10" s="46" t="str">
        <f>'Open 1'!AE16</f>
        <v>1st</v>
      </c>
      <c r="O10" s="29" t="str">
        <f>'Open 1'!AF16</f>
        <v>Natalie Hieronimus</v>
      </c>
      <c r="P10" s="29" t="str">
        <f>'Open 1'!AG16</f>
        <v>Charlie</v>
      </c>
      <c r="Q10" s="47">
        <f>'Open 1'!AH16</f>
        <v>14.517000074</v>
      </c>
      <c r="R10" s="181">
        <f>AI16</f>
        <v>229.14000000000001</v>
      </c>
      <c r="S10" s="217" t="str">
        <f>IF(N10="Tie",AL16,"")</f>
        <v/>
      </c>
      <c r="T10" s="21" t="str">
        <f t="shared" si="1"/>
        <v>Kristan SoukupPC Remarkable</v>
      </c>
      <c r="U10" s="109">
        <f t="shared" si="2"/>
        <v>15.622999999999999</v>
      </c>
      <c r="W10" s="3" t="str">
        <f>IFERROR(VLOOKUP('Open 1'!F10,$AD$3:$AE$7,2,TRUE),"")</f>
        <v>3D</v>
      </c>
      <c r="X10" s="8" t="str">
        <f>IFERROR(IF(W10=$X$1,'Open 1'!F10,""),"")</f>
        <v/>
      </c>
      <c r="Y10" s="8" t="str">
        <f>IFERROR(IF(W10=$Y$1,'Open 1'!F10,""),"")</f>
        <v/>
      </c>
      <c r="Z10" s="8">
        <f>IFERROR(IF(W10=$Z$1,'Open 1'!F10,""),"")</f>
        <v>15.623000009</v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68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Brittany Dieters</v>
      </c>
      <c r="AG10" s="208" t="str">
        <f>IFERROR(INDEX('Open 1'!$B:$F,MATCH(AH10,'Open 1'!$F:$F,0),2),"-")</f>
        <v>MS Holywood (Anna)</v>
      </c>
      <c r="AH10" s="209">
        <f t="shared" ref="AH10:AH15" si="5">IFERROR(SMALL($X$2:$X$286,AJ10),"-")</f>
        <v>14.013000013999999</v>
      </c>
      <c r="AI10" s="216">
        <f>IF(AR4&gt;0,AR4,"")</f>
        <v>267.33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70" t="s">
        <v>75</v>
      </c>
      <c r="AN10" s="270"/>
      <c r="AO10" s="270"/>
      <c r="AP10" s="21">
        <f>K11</f>
        <v>57</v>
      </c>
    </row>
    <row r="11" spans="1:50" ht="16.5" thickBot="1">
      <c r="A11" s="22">
        <f>IF(B11="","",Draw!A11)</f>
        <v>9</v>
      </c>
      <c r="B11" s="23" t="str">
        <f>IFERROR(Draw!B11,"")</f>
        <v>Elaine Hagen</v>
      </c>
      <c r="C11" s="23" t="str">
        <f>IFERROR(Draw!C11,"")</f>
        <v>MIP Streakin Seltzer</v>
      </c>
      <c r="D11" s="60">
        <v>15.602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15.602000010000001</v>
      </c>
      <c r="G11" s="107">
        <f t="shared" si="0"/>
        <v>15.602000010000001</v>
      </c>
      <c r="H11" s="90" t="str">
        <f>IF(A11="yco",VLOOKUP(CONCATENATE(B11,C11),Youth!S:T,2,FALSE),IF(OR(AND(D11&gt;1,D11&lt;1050),D11="nt",D11="",D11="scratch"),"","Not valid"))</f>
        <v/>
      </c>
      <c r="I11" s="260" t="s">
        <v>77</v>
      </c>
      <c r="J11" s="261"/>
      <c r="K11" s="219">
        <f>COUNTIF('Open 1'!$A$2:$A$286,"&gt;0")+COUNTIF('Open 1'!$A$2:$A$286,"yco")-COUNTIF($D$2:$D$286,"scratch")-COUNTIF($F$2:$F$286,"&gt;=4000")</f>
        <v>57</v>
      </c>
      <c r="L11" s="58">
        <v>2</v>
      </c>
      <c r="M11" s="266"/>
      <c r="N11" s="37" t="str">
        <f>IF($K$13&lt;"2","",IF(AE17="Tie","Tie",AE17))</f>
        <v>2nd</v>
      </c>
      <c r="O11" s="26" t="str">
        <f>IF(N11="","",'Open 1'!AF17)</f>
        <v>Shana Lensing</v>
      </c>
      <c r="P11" s="26" t="str">
        <f>IF(O11="","",'Open 1'!AG17)</f>
        <v>Dinkys Leroy Cash</v>
      </c>
      <c r="Q11" s="48">
        <f>IF(P11="","",'Open 1'!AH17)</f>
        <v>14.531000034</v>
      </c>
      <c r="R11" s="182">
        <f>AI17</f>
        <v>171.85499999999999</v>
      </c>
      <c r="S11" s="217" t="str">
        <f t="shared" ref="S11:S14" si="6">IF(N11="Tie",AL17,"")</f>
        <v/>
      </c>
      <c r="T11" s="21" t="str">
        <f t="shared" si="1"/>
        <v>Elaine HagenMIP Streakin Seltzer</v>
      </c>
      <c r="U11" s="109">
        <f t="shared" si="2"/>
        <v>15.602</v>
      </c>
      <c r="W11" s="3" t="str">
        <f>IFERROR(VLOOKUP('Open 1'!F11,$AD$3:$AE$7,2,TRUE),"")</f>
        <v>3D</v>
      </c>
      <c r="X11" s="8" t="str">
        <f>IFERROR(IF(W11=$X$1,'Open 1'!F11,""),"")</f>
        <v/>
      </c>
      <c r="Y11" s="8" t="str">
        <f>IFERROR(IF(W11=$Y$1,'Open 1'!F11,""),"")</f>
        <v/>
      </c>
      <c r="Z11" s="8">
        <f>IFERROR(IF(W11=$Z$1,'Open 1'!F11,""),"")</f>
        <v>15.602000010000001</v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69"/>
      <c r="AE11" s="73" t="str">
        <f t="shared" si="4"/>
        <v>2nd</v>
      </c>
      <c r="AF11" s="73" t="str">
        <f>IFERROR(INDEX('Open 1'!B:F,MATCH(AH11,'Open 1'!$F:$F,0),1),"-")</f>
        <v>Cami Wolles</v>
      </c>
      <c r="AG11" s="73" t="str">
        <f>IFERROR(INDEX('Open 1'!$B:$F,MATCH(AH11,'Open 1'!$F:$F,0),2),"-")</f>
        <v>Nellie</v>
      </c>
      <c r="AH11" s="8">
        <f t="shared" si="5"/>
        <v>14.090000002</v>
      </c>
      <c r="AI11" s="214">
        <f>IF(AR5&gt;0,AR5,"")</f>
        <v>200.49749999999997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70" t="s">
        <v>76</v>
      </c>
      <c r="AN11" s="270"/>
      <c r="AO11" s="270"/>
      <c r="AP11" s="176">
        <v>33.5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Rachel Kelderman</v>
      </c>
      <c r="C12" s="23" t="str">
        <f>IFERROR(Draw!C12,"")</f>
        <v xml:space="preserve">Lucy </v>
      </c>
      <c r="D12" s="62">
        <v>14.887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14.887000011</v>
      </c>
      <c r="G12" s="107">
        <f t="shared" si="0"/>
        <v>14.887000011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6"/>
      <c r="N12" s="37" t="str">
        <f>IF($K$13&lt;"3","",IF(AE18="Tie","Tie",AE18))</f>
        <v>3rd</v>
      </c>
      <c r="O12" s="26" t="str">
        <f>IF(N12="","",'Open 1'!AF18)</f>
        <v>Nicole VanWell</v>
      </c>
      <c r="P12" s="26" t="str">
        <f>IF(O12="","",'Open 1'!AG18)</f>
        <v>Flirty Ways</v>
      </c>
      <c r="Q12" s="48">
        <f>IF(P12="","",'Open 1'!AH18)</f>
        <v>14.555000081999999</v>
      </c>
      <c r="R12" s="182">
        <f>AI18</f>
        <v>114.57000000000001</v>
      </c>
      <c r="S12" s="217" t="str">
        <f t="shared" si="6"/>
        <v/>
      </c>
      <c r="T12" s="21" t="str">
        <f t="shared" si="1"/>
        <v xml:space="preserve">Rachel KeldermanLucy </v>
      </c>
      <c r="U12" s="109">
        <f t="shared" si="2"/>
        <v>14.887</v>
      </c>
      <c r="W12" s="3" t="str">
        <f>IFERROR(VLOOKUP('Open 1'!F12,$AD$3:$AE$7,2,TRUE),"")</f>
        <v>2D</v>
      </c>
      <c r="X12" s="8" t="str">
        <f>IFERROR(IF(W12=$X$1,'Open 1'!F12,""),"")</f>
        <v/>
      </c>
      <c r="Y12" s="8">
        <f>IFERROR(IF(W12=$Y$1,'Open 1'!F12,""),"")</f>
        <v>14.887000011</v>
      </c>
      <c r="Z12" s="8" t="str">
        <f>IFERROR(IF(W12=$Z$1,'Open 1'!F12,""),"")</f>
        <v/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69"/>
      <c r="AE12" s="73" t="str">
        <f t="shared" si="4"/>
        <v>3rd</v>
      </c>
      <c r="AF12" s="73" t="str">
        <f>IFERROR(INDEX('Open 1'!B:F,MATCH(AH12,'Open 1'!$F:$F,0),1),"-")</f>
        <v>Shana Lensing</v>
      </c>
      <c r="AG12" s="73" t="str">
        <f>IFERROR(INDEX('Open 1'!$B:$F,MATCH(AH12,'Open 1'!$F:$F,0),2),"-")</f>
        <v>Sages Lil Peppy Doc</v>
      </c>
      <c r="AH12" s="8">
        <f t="shared" si="5"/>
        <v>14.177000003</v>
      </c>
      <c r="AI12" s="214">
        <f>IF(AR6&gt;0,AR6,"")</f>
        <v>133.66499999999999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70" t="s">
        <v>78</v>
      </c>
      <c r="AN12" s="270"/>
      <c r="AO12" s="270"/>
      <c r="AP12" s="176">
        <f>(AP10*AP11)+K3</f>
        <v>1909.5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66"/>
      <c r="N13" s="37" t="str">
        <f>IF($K$13&lt;"4","",IF(AE19="Tie","Tie",AE19))</f>
        <v>4th</v>
      </c>
      <c r="O13" s="26" t="str">
        <f>IF(N13="","",'Open 1'!AF19)</f>
        <v>Makayla Cross</v>
      </c>
      <c r="P13" s="26" t="str">
        <f>IF(O13="","",'Open 1'!AG19)</f>
        <v>Jacks Dashin Destiny</v>
      </c>
      <c r="Q13" s="48">
        <f>IF(P13="","",'Open 1'!AH19)</f>
        <v>14.565000004</v>
      </c>
      <c r="R13" s="182">
        <f>AI19</f>
        <v>57.285000000000004</v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9"/>
      <c r="AE13" s="73" t="str">
        <f t="shared" si="4"/>
        <v>4th</v>
      </c>
      <c r="AF13" s="73" t="str">
        <f>IFERROR(INDEX('Open 1'!B:F,MATCH(AH13,'Open 1'!$F:$F,0),1),"-")</f>
        <v>Makayla Cross</v>
      </c>
      <c r="AG13" s="73" t="str">
        <f>IFERROR(INDEX('Open 1'!$B:$F,MATCH(AH13,'Open 1'!$F:$F,0),2),"-")</f>
        <v>Aishas Burnin Love</v>
      </c>
      <c r="AH13" s="8">
        <f t="shared" si="5"/>
        <v>14.220000033</v>
      </c>
      <c r="AI13" s="214">
        <f>IF(AR7&gt;0,AR7,"")</f>
        <v>66.832499999999996</v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70" t="s">
        <v>10</v>
      </c>
      <c r="AN13" s="270"/>
      <c r="AO13" s="270"/>
      <c r="AP13" s="176">
        <f>AP12*AV2</f>
        <v>1909.4999999999998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Mike Boomgarden</v>
      </c>
      <c r="C14" s="23" t="str">
        <f>IFERROR(Draw!C14,"")</f>
        <v>Rook</v>
      </c>
      <c r="D14" s="59">
        <v>917.29499999999996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917.29500001299994</v>
      </c>
      <c r="G14" s="107">
        <f t="shared" si="0"/>
        <v>917.29500001299994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7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Mike BoomgardenRook</v>
      </c>
      <c r="U14" s="109">
        <f t="shared" si="2"/>
        <v>917.29499999999996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917.29500001299994</v>
      </c>
      <c r="AB14" s="8" t="str">
        <f>IFERROR(IF(W14=$AB$1,'Open 1'!F14,""),"")</f>
        <v/>
      </c>
      <c r="AC14" s="18" t="s">
        <v>26</v>
      </c>
      <c r="AD14" s="269"/>
      <c r="AE14" s="73" t="str">
        <f t="shared" si="4"/>
        <v>5th</v>
      </c>
      <c r="AF14" s="73" t="str">
        <f>IFERROR(INDEX('Open 1'!B:F,MATCH(AH14,'Open 1'!$F:$F,0),1),"-")</f>
        <v>Jodie Greig</v>
      </c>
      <c r="AG14" s="73" t="str">
        <f>IFERROR(INDEX('Open 1'!$B:$F,MATCH(AH14,'Open 1'!$F:$F,0),2),"-")</f>
        <v xml:space="preserve">Streakin On Fame </v>
      </c>
      <c r="AH14" s="8">
        <f t="shared" si="5"/>
        <v>14.253000047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Brittany Dieters</v>
      </c>
      <c r="C15" s="23" t="str">
        <f>IFERROR(Draw!C15,"")</f>
        <v>MS Holywood (Anna)</v>
      </c>
      <c r="D15" s="64">
        <v>14.013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14.013000013999999</v>
      </c>
      <c r="G15" s="107">
        <f t="shared" si="0"/>
        <v>14.013000013999999</v>
      </c>
      <c r="H15" s="90" t="str">
        <f>IF(A15="yco",VLOOKUP(CONCATENATE(B15,C15),Youth!S:T,2,FALSE),IF(OR(AND(D15&gt;1,D15&lt;1050),D15="nt",D15="",D15="scratch"),"","Not valid"))</f>
        <v/>
      </c>
      <c r="J15" s="275" t="s">
        <v>27</v>
      </c>
      <c r="K15" s="276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Brittany DietersMS Holywood (Anna)</v>
      </c>
      <c r="U15" s="109">
        <f t="shared" si="2"/>
        <v>14.013</v>
      </c>
      <c r="W15" s="3" t="str">
        <f>IFERROR(VLOOKUP('Open 1'!F15,$AD$3:$AE$7,2,TRUE),"")</f>
        <v>1D</v>
      </c>
      <c r="X15" s="8">
        <f>IFERROR(IF(W15=$X$1,'Open 1'!F15,""),"")</f>
        <v>14.013000013999999</v>
      </c>
      <c r="Y15" s="8" t="str">
        <f>IFERROR(IF(W15=$Y$1,'Open 1'!F15,""),"")</f>
        <v/>
      </c>
      <c r="Z15" s="8" t="str">
        <f>IFERROR(IF(W15=$Z$1,'Open 1'!F15,""),"")</f>
        <v/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6th</v>
      </c>
      <c r="AF15" s="73" t="str">
        <f>IFERROR(INDEX('Open 1'!B:F,MATCH(AH15,'Open 1'!$F:$F,0),1),"-")</f>
        <v>Kayleigh Maras</v>
      </c>
      <c r="AG15" s="73" t="str">
        <f>IFERROR(INDEX('Open 1'!$B:$F,MATCH(AH15,'Open 1'!$F:$F,0),2),"-")</f>
        <v>Mayor Perks</v>
      </c>
      <c r="AH15" s="8">
        <f t="shared" si="5"/>
        <v>14.300000039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Josey Fey</v>
      </c>
      <c r="C16" s="23" t="str">
        <f>IFERROR(Draw!C16,"")</f>
        <v>O SO Country</v>
      </c>
      <c r="D16" s="65">
        <v>14.471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4000.0000000149998</v>
      </c>
      <c r="G16" s="107" t="str">
        <f t="shared" si="0"/>
        <v/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7" t="s">
        <v>5</v>
      </c>
      <c r="N16" s="46" t="str">
        <f>'Open 1'!AE22</f>
        <v>1st</v>
      </c>
      <c r="O16" s="29" t="str">
        <f>'Open 1'!AF22</f>
        <v>Erica Traut</v>
      </c>
      <c r="P16" s="29" t="str">
        <f>'Open 1'!AG22</f>
        <v>RDC Eym French Nrare</v>
      </c>
      <c r="Q16" s="47">
        <f>'Open 1'!AH22</f>
        <v>15.033000067</v>
      </c>
      <c r="R16" s="181">
        <f>AI22</f>
        <v>152.76000000000002</v>
      </c>
      <c r="S16" s="217" t="str">
        <f>IF(N16="Tie",AL22,"")</f>
        <v/>
      </c>
      <c r="T16" s="21" t="str">
        <f t="shared" si="1"/>
        <v>Josey FeyO SO Country</v>
      </c>
      <c r="U16" s="109">
        <f t="shared" si="2"/>
        <v>14.471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4000.0000000149998</v>
      </c>
      <c r="AB16" s="8" t="str">
        <f>IFERROR(IF(W16=$AB$1,'Open 1'!F16,""),"")</f>
        <v/>
      </c>
      <c r="AC16" s="18" t="s">
        <v>20</v>
      </c>
      <c r="AD16" s="269" t="s">
        <v>4</v>
      </c>
      <c r="AE16" s="73" t="str">
        <f t="shared" si="4"/>
        <v>1st</v>
      </c>
      <c r="AF16" s="19" t="str">
        <f>IFERROR(INDEX('Open 1'!B:F,MATCH(AH16,'Open 1'!F:F,0),1),"-")</f>
        <v>Natalie Hieronimus</v>
      </c>
      <c r="AG16" s="19" t="str">
        <f>IFERROR(INDEX('Open 1'!B:F,MATCH(AH16,'Open 1'!F:F,0),2),"-")</f>
        <v>Charlie</v>
      </c>
      <c r="AH16" s="4">
        <f t="shared" ref="AH16:AH21" si="7">IFERROR(SMALL($Y$2:$Y$286,AJ16),"-")</f>
        <v>14.517000074</v>
      </c>
      <c r="AI16" s="215">
        <f>IF(AS4&gt;0,AS4,"")</f>
        <v>229.14000000000001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Olivia Selleck</v>
      </c>
      <c r="C17" s="23" t="str">
        <f>IFERROR(Draw!C17,"")</f>
        <v>MMT Rebel In Motion</v>
      </c>
      <c r="D17" s="60">
        <v>15.727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15.727000016</v>
      </c>
      <c r="G17" s="107">
        <f t="shared" si="0"/>
        <v>15.727000016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8"/>
      <c r="N17" s="37" t="str">
        <f>IF($K$13&lt;"2","",IF(AE23="Tie","Tie",AE23))</f>
        <v>2nd</v>
      </c>
      <c r="O17" s="26" t="str">
        <f>IF(N17="","",'Open 1'!AF23)</f>
        <v>Hayden Seitz</v>
      </c>
      <c r="P17" s="26" t="str">
        <f>IF(O17="","",'Open 1'!AG23)</f>
        <v>Jitter</v>
      </c>
      <c r="Q17" s="48">
        <f>IF(P17="","",'Open 1'!AH23)</f>
        <v>15.100000046</v>
      </c>
      <c r="R17" s="182">
        <f>AI23</f>
        <v>114.57000000000001</v>
      </c>
      <c r="S17" s="217" t="str">
        <f t="shared" ref="S17:S19" si="8">IF(N17="Tie",AL23,"")</f>
        <v/>
      </c>
      <c r="T17" s="21" t="str">
        <f t="shared" si="1"/>
        <v>Olivia SelleckMMT Rebel In Motion</v>
      </c>
      <c r="U17" s="109">
        <f t="shared" si="2"/>
        <v>15.727</v>
      </c>
      <c r="W17" s="3" t="str">
        <f>IFERROR(VLOOKUP('Open 1'!F17,$AD$3:$AE$7,2,TRUE),"")</f>
        <v>3D</v>
      </c>
      <c r="X17" s="8" t="str">
        <f>IFERROR(IF(W17=$X$1,'Open 1'!F17,""),"")</f>
        <v/>
      </c>
      <c r="Y17" s="8" t="str">
        <f>IFERROR(IF(W17=$Y$1,'Open 1'!F17,""),"")</f>
        <v/>
      </c>
      <c r="Z17" s="8">
        <f>IFERROR(IF(W17=$Z$1,'Open 1'!F17,""),"")</f>
        <v>15.727000016</v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69"/>
      <c r="AE17" s="73" t="str">
        <f t="shared" si="4"/>
        <v>2nd</v>
      </c>
      <c r="AF17" s="19" t="str">
        <f>IFERROR(INDEX('Open 1'!B:F,MATCH(AH17,'Open 1'!F:F,0),1),"-")</f>
        <v>Shana Lensing</v>
      </c>
      <c r="AG17" s="19" t="str">
        <f>IFERROR(INDEX('Open 1'!B:F,MATCH(AH17,'Open 1'!F:F,0),2),"-")</f>
        <v>Dinkys Leroy Cash</v>
      </c>
      <c r="AH17" s="4">
        <f t="shared" si="7"/>
        <v>14.531000034</v>
      </c>
      <c r="AI17" s="215">
        <f>IF(AS5&gt;0,AS5,"")</f>
        <v>171.85499999999999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Hatty Fey</v>
      </c>
      <c r="C18" s="23" t="str">
        <f>IFERROR(Draw!C18,"")</f>
        <v>Maude</v>
      </c>
      <c r="D18" s="61">
        <v>15.583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4000.0000000169998</v>
      </c>
      <c r="G18" s="107" t="str">
        <f t="shared" si="0"/>
        <v/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8"/>
      <c r="N18" s="37" t="str">
        <f>IF($K$13&lt;"3","",IF(AE24="Tie","Tie",AE24))</f>
        <v>3rd</v>
      </c>
      <c r="O18" s="26" t="str">
        <f>IF(N18="","",'Open 1'!AF24)</f>
        <v>Megan Rosendahl</v>
      </c>
      <c r="P18" s="26" t="str">
        <f>IF(O18="","",'Open 1'!AG24)</f>
        <v>A Dash of Jerzy Cash</v>
      </c>
      <c r="Q18" s="48">
        <f>IF(P18="","",'Open 1'!AH24)</f>
        <v>15.192000057</v>
      </c>
      <c r="R18" s="182">
        <f>AI24</f>
        <v>76.38000000000001</v>
      </c>
      <c r="S18" s="217" t="str">
        <f t="shared" si="8"/>
        <v/>
      </c>
      <c r="T18" s="21" t="str">
        <f t="shared" si="1"/>
        <v>Hatty FeyMaude</v>
      </c>
      <c r="U18" s="109">
        <f t="shared" si="2"/>
        <v>15.583</v>
      </c>
      <c r="W18" s="3" t="str">
        <f>IFERROR(VLOOKUP('Open 1'!F18,$AD$3:$AE$7,2,TRUE),"")</f>
        <v>4D</v>
      </c>
      <c r="X18" s="8" t="str">
        <f>IFERROR(IF(W18=$X$1,'Open 1'!F18,""),"")</f>
        <v/>
      </c>
      <c r="Y18" s="8" t="str">
        <f>IFERROR(IF(W18=$Y$1,'Open 1'!F18,""),"")</f>
        <v/>
      </c>
      <c r="Z18" s="8" t="str">
        <f>IFERROR(IF(W18=$Z$1,'Open 1'!F18,""),"")</f>
        <v/>
      </c>
      <c r="AA18" s="8">
        <f>IFERROR(IF($W18=$AA$1,'Open 1'!F18,""),"")</f>
        <v>4000.0000000169998</v>
      </c>
      <c r="AB18" s="8" t="str">
        <f>IFERROR(IF(W18=$AB$1,'Open 1'!F18,""),"")</f>
        <v/>
      </c>
      <c r="AC18" s="18" t="s">
        <v>24</v>
      </c>
      <c r="AD18" s="269"/>
      <c r="AE18" s="73" t="str">
        <f t="shared" si="4"/>
        <v>3rd</v>
      </c>
      <c r="AF18" s="19" t="str">
        <f>IFERROR(INDEX('Open 1'!B:F,MATCH(AH18,'Open 1'!F:F,0),1),"-")</f>
        <v>Nicole VanWell</v>
      </c>
      <c r="AG18" s="19" t="str">
        <f>IFERROR(INDEX('Open 1'!B:F,MATCH(AH18,'Open 1'!F:F,0),2),"-")</f>
        <v>Flirty Ways</v>
      </c>
      <c r="AH18" s="4">
        <f t="shared" si="7"/>
        <v>14.555000081999999</v>
      </c>
      <c r="AI18" s="215">
        <f>IF(AS6&gt;0,AS6,"")</f>
        <v>114.57000000000001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8"/>
      <c r="N19" s="37" t="str">
        <f>IF($K$13&lt;"4","",IF(AE25="Tie","Tie",AE25))</f>
        <v>4th</v>
      </c>
      <c r="O19" s="26" t="str">
        <f>IF(N19="","",'Open 1'!AF25)</f>
        <v>Brittany Dieters</v>
      </c>
      <c r="P19" s="26" t="str">
        <f>IF(O19="","",'Open 1'!AG25)</f>
        <v>Carl's Bad Cat (Maui)</v>
      </c>
      <c r="Q19" s="48">
        <f>IF(P19="","",'Open 1'!AH25)</f>
        <v>15.241000057999999</v>
      </c>
      <c r="R19" s="182">
        <f>AI25</f>
        <v>38.190000000000005</v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9"/>
      <c r="AE19" s="73" t="str">
        <f t="shared" si="4"/>
        <v>4th</v>
      </c>
      <c r="AF19" s="19" t="str">
        <f>IFERROR(INDEX('Open 1'!B:F,MATCH(AH19,'Open 1'!F:F,0),1),"-")</f>
        <v>Makayla Cross</v>
      </c>
      <c r="AG19" s="19" t="str">
        <f>IFERROR(INDEX('Open 1'!B:F,MATCH(AH19,'Open 1'!F:F,0),2),"-")</f>
        <v>Jacks Dashin Destiny</v>
      </c>
      <c r="AH19" s="4">
        <f t="shared" si="7"/>
        <v>14.565000004</v>
      </c>
      <c r="AI19" s="215">
        <f>IF(AS7&gt;0,AS7,"")</f>
        <v>57.285000000000004</v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Natalie Hieronimus</v>
      </c>
      <c r="C20" s="23" t="str">
        <f>IFERROR(Draw!C20,"")</f>
        <v>SH Chrome Ta Fame</v>
      </c>
      <c r="D20" s="59" t="s">
        <v>244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1000.000000019</v>
      </c>
      <c r="G20" s="107">
        <f t="shared" si="0"/>
        <v>1000.000000019</v>
      </c>
      <c r="H20" s="90" t="str">
        <f>IF(A20="yco",VLOOKUP(CONCATENATE(B20,C20),Youth!S:T,2,FALSE),IF(OR(AND(D20&gt;1,D20&lt;1050),D20="nt",D20="",D20="scratch"),"","Not valid"))</f>
        <v/>
      </c>
      <c r="M20" s="279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Natalie HieronimusSH Chrome Ta Fame</v>
      </c>
      <c r="U20" s="109" t="str">
        <f t="shared" si="2"/>
        <v>nt</v>
      </c>
      <c r="W20" s="3" t="str">
        <f>IFERROR(VLOOKUP('Open 1'!F20,$AD$3:$AE$7,2,TRUE),"")</f>
        <v>4D</v>
      </c>
      <c r="X20" s="8" t="str">
        <f>IFERROR(IF(W20=$X$1,'Open 1'!F20,""),"")</f>
        <v/>
      </c>
      <c r="Y20" s="8" t="str">
        <f>IFERROR(IF(W20=$Y$1,'Open 1'!F20,""),"")</f>
        <v/>
      </c>
      <c r="Z20" s="8" t="str">
        <f>IFERROR(IF(W20=$Z$1,'Open 1'!F20,""),"")</f>
        <v/>
      </c>
      <c r="AA20" s="8">
        <f>IFERROR(IF($W20=$AA$1,'Open 1'!F20,""),"")</f>
        <v>1000.000000019</v>
      </c>
      <c r="AB20" s="8" t="str">
        <f>IFERROR(IF(W20=$AB$1,'Open 1'!F20,""),"")</f>
        <v/>
      </c>
      <c r="AC20" s="18" t="s">
        <v>26</v>
      </c>
      <c r="AD20" s="269"/>
      <c r="AE20" s="73" t="str">
        <f t="shared" si="4"/>
        <v>5th</v>
      </c>
      <c r="AF20" s="19" t="str">
        <f>IFERROR(INDEX('Open 1'!B:F,MATCH(AH20,'Open 1'!F:F,0),1),"-")</f>
        <v>Jamie Zuidema</v>
      </c>
      <c r="AG20" s="19" t="str">
        <f>IFERROR(INDEX('Open 1'!B:F,MATCH(AH20,'Open 1'!F:F,0),2),"-")</f>
        <v xml:space="preserve">Lucy </v>
      </c>
      <c r="AH20" s="4">
        <f t="shared" si="7"/>
        <v>14.590000073000001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Kaitilynn Jorgensen</v>
      </c>
      <c r="C21" s="23" t="str">
        <f>IFERROR(Draw!C21,"")</f>
        <v xml:space="preserve">Kitty Dun It </v>
      </c>
      <c r="D21" s="60">
        <v>914.745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914.74500002000002</v>
      </c>
      <c r="G21" s="107">
        <f t="shared" si="0"/>
        <v>914.74500002000002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 xml:space="preserve">Kaitilynn JorgensenKitty Dun It </v>
      </c>
      <c r="U21" s="109">
        <f t="shared" si="2"/>
        <v>914.745</v>
      </c>
      <c r="W21" s="3" t="str">
        <f>IFERROR(VLOOKUP('Open 1'!F21,$AD$3:$AE$7,2,TRUE),"")</f>
        <v>4D</v>
      </c>
      <c r="X21" s="8" t="str">
        <f>IFERROR(IF(W21=$X$1,'Open 1'!F21,""),"")</f>
        <v/>
      </c>
      <c r="Y21" s="8" t="str">
        <f>IFERROR(IF(W21=$Y$1,'Open 1'!F21,""),"")</f>
        <v/>
      </c>
      <c r="Z21" s="8" t="str">
        <f>IFERROR(IF(W21=$Z$1,'Open 1'!F21,""),"")</f>
        <v/>
      </c>
      <c r="AA21" s="8">
        <f>IFERROR(IF($W21=$AA$1,'Open 1'!F21,""),"")</f>
        <v>914.74500002000002</v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Kristine DeBerg</v>
      </c>
      <c r="AG21" s="19" t="str">
        <f>IFERROR(INDEX('Open 1'!B:F,MATCH(AH21,'Open 1'!F:F,0),2),"-")</f>
        <v>Jessfrostmycake</v>
      </c>
      <c r="AH21" s="4">
        <f t="shared" si="7"/>
        <v>14.659000001000001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Kara Martin</v>
      </c>
      <c r="C22" s="23" t="str">
        <f>IFERROR(Draw!C22,"")</f>
        <v>Dasher</v>
      </c>
      <c r="D22" s="60">
        <v>15.708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15.708000021</v>
      </c>
      <c r="G22" s="107">
        <f t="shared" si="0"/>
        <v>15.708000021</v>
      </c>
      <c r="H22" s="90" t="str">
        <f>IF(A22="yco",VLOOKUP(CONCATENATE(B22,C22),Youth!S:T,2,FALSE),IF(OR(AND(D22&gt;1,D22&lt;1050),D22="nt",D22="",D22="scratch"),"","Not valid"))</f>
        <v/>
      </c>
      <c r="J22" s="58"/>
      <c r="M22" s="280" t="s">
        <v>6</v>
      </c>
      <c r="N22" s="46" t="str">
        <f>'Open 1'!AE28</f>
        <v>1st</v>
      </c>
      <c r="O22" s="29" t="str">
        <f>'Open 1'!AF28</f>
        <v>Olivia Selleck</v>
      </c>
      <c r="P22" s="29" t="str">
        <f>'Open 1'!AG28</f>
        <v>TresTimesTheDynamite</v>
      </c>
      <c r="Q22" s="47">
        <f>'Open 1'!AH28</f>
        <v>16.016000063</v>
      </c>
      <c r="R22" s="182">
        <f>IF(AI28&lt;=0,"",AI28)</f>
        <v>114.57000000000001</v>
      </c>
      <c r="S22" s="217" t="str">
        <f>IF(N22="Tie",AL28,"")</f>
        <v/>
      </c>
      <c r="T22" s="21" t="str">
        <f t="shared" si="1"/>
        <v>Kara MartinDasher</v>
      </c>
      <c r="U22" s="109">
        <f t="shared" si="2"/>
        <v>15.708</v>
      </c>
      <c r="W22" s="3" t="str">
        <f>IFERROR(VLOOKUP('Open 1'!F22,$AD$3:$AE$7,2,TRUE),"")</f>
        <v>3D</v>
      </c>
      <c r="X22" s="8" t="str">
        <f>IFERROR(IF(W22=$X$1,'Open 1'!F22,""),"")</f>
        <v/>
      </c>
      <c r="Y22" s="8" t="str">
        <f>IFERROR(IF(W22=$Y$1,'Open 1'!F22,""),"")</f>
        <v/>
      </c>
      <c r="Z22" s="8">
        <f>IFERROR(IF(W22=$Z$1,'Open 1'!F22,""),"")</f>
        <v>15.708000021</v>
      </c>
      <c r="AA22" s="8" t="str">
        <f>IFERROR(IF($W22=$AA$1,'Open 1'!F22,""),"")</f>
        <v/>
      </c>
      <c r="AB22" s="8" t="str">
        <f>IFERROR(IF(W22=$AB$1,'Open 1'!F22,""),"")</f>
        <v/>
      </c>
      <c r="AC22" s="18" t="s">
        <v>20</v>
      </c>
      <c r="AD22" s="269" t="s">
        <v>5</v>
      </c>
      <c r="AE22" s="73" t="str">
        <f t="shared" si="4"/>
        <v>1st</v>
      </c>
      <c r="AF22" s="19" t="str">
        <f>IFERROR(INDEX('Open 1'!B:F,MATCH(AH22,'Open 1'!F:F,0),1),"-")</f>
        <v>Erica Traut</v>
      </c>
      <c r="AG22" s="19" t="str">
        <f>IFERROR(INDEX('Open 1'!B:F,MATCH(AH22,'Open 1'!F:F,0),2),"-")</f>
        <v>RDC Eym French Nrare</v>
      </c>
      <c r="AH22" s="78">
        <f t="shared" ref="AH22:AH27" si="9">IFERROR(SMALL($Z$2:$Z$286,AJ22),"-")</f>
        <v>15.033000067</v>
      </c>
      <c r="AI22" s="215">
        <f>IF(AT4&gt;0,AT4,"")</f>
        <v>152.76000000000002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Kayla Pappendick</v>
      </c>
      <c r="C23" s="23" t="str">
        <f>IFERROR(Draw!C23,"")</f>
        <v>Buddy</v>
      </c>
      <c r="D23" s="60">
        <v>14.904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14.904000022</v>
      </c>
      <c r="G23" s="107">
        <f t="shared" si="0"/>
        <v>14.904000022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81"/>
      <c r="N23" s="37" t="str">
        <f>IF($K$13&lt;"2","",IF(AE29="Tie","Tie",AE29))</f>
        <v>2nd</v>
      </c>
      <c r="O23" s="26" t="str">
        <f>IF(N23="","",'Open 1'!AF29)</f>
        <v>Carrie Dieters</v>
      </c>
      <c r="P23" s="26" t="str">
        <f>IF(O23="","",'Open 1'!AG29)</f>
        <v>A Guy With Fame</v>
      </c>
      <c r="Q23" s="48">
        <f>IF(P23="","",'Open 1'!AH29)</f>
        <v>16.107000082999999</v>
      </c>
      <c r="R23" s="182">
        <f>IF(AI29&lt;=0,"",AI29)</f>
        <v>85.927499999999995</v>
      </c>
      <c r="S23" s="217" t="str">
        <f>IF(N23="Tie",AL29,"")</f>
        <v/>
      </c>
      <c r="T23" s="21" t="str">
        <f t="shared" si="1"/>
        <v>Kayla PappendickBuddy</v>
      </c>
      <c r="U23" s="109">
        <f t="shared" si="2"/>
        <v>14.904</v>
      </c>
      <c r="W23" s="3" t="str">
        <f>IFERROR(VLOOKUP('Open 1'!F23,$AD$3:$AE$7,2,TRUE),"")</f>
        <v>2D</v>
      </c>
      <c r="X23" s="8" t="str">
        <f>IFERROR(IF(W23=$X$1,'Open 1'!F23,""),"")</f>
        <v/>
      </c>
      <c r="Y23" s="8">
        <f>IFERROR(IF(W23=$Y$1,'Open 1'!F23,""),"")</f>
        <v>14.904000022</v>
      </c>
      <c r="Z23" s="8" t="str">
        <f>IFERROR(IF(W23=$Z$1,'Open 1'!F23,""),"")</f>
        <v/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69"/>
      <c r="AE23" s="73" t="str">
        <f t="shared" si="4"/>
        <v>2nd</v>
      </c>
      <c r="AF23" s="19" t="str">
        <f>IFERROR(INDEX('Open 1'!B:F,MATCH(AH23,'Open 1'!F:F,0),1),"-")</f>
        <v>Hayden Seitz</v>
      </c>
      <c r="AG23" s="19" t="str">
        <f>IFERROR(INDEX('Open 1'!B:F,MATCH(AH23,'Open 1'!F:F,0),2),"-")</f>
        <v>Jitter</v>
      </c>
      <c r="AH23" s="78">
        <f t="shared" si="9"/>
        <v>15.100000046</v>
      </c>
      <c r="AI23" s="215">
        <f>IF(AT5&gt;0,AT5,"")</f>
        <v>114.57000000000001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Deb Kruger</v>
      </c>
      <c r="C24" s="23" t="str">
        <f>IFERROR(Draw!C24,"")</f>
        <v>Fast Sassafrass</v>
      </c>
      <c r="D24" s="62">
        <v>14.987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14.987000023</v>
      </c>
      <c r="G24" s="107">
        <f t="shared" si="0"/>
        <v>14.987000023</v>
      </c>
      <c r="H24" s="90" t="str">
        <f>IF(A24="yco",VLOOKUP(CONCATENATE(B24,C24),Youth!S:T,2,FALSE),IF(OR(AND(D24&gt;1,D24&lt;1050),D24="nt",D24="",D24="scratch"),"","Not valid"))</f>
        <v/>
      </c>
      <c r="M24" s="281"/>
      <c r="N24" s="37" t="str">
        <f>IF($K$13&lt;"3","",IF(AE30="Tie","Tie",AE30))</f>
        <v>3rd</v>
      </c>
      <c r="O24" s="26" t="str">
        <f>IF(N24="","",'Open 1'!AF30)</f>
        <v>Megan Thorson</v>
      </c>
      <c r="P24" s="26" t="str">
        <f>IF(O24="","",'Open 1'!AG30)</f>
        <v>Rocky Rio Rebel</v>
      </c>
      <c r="Q24" s="48">
        <f>IF(P24="","",'Open 1'!AH30)</f>
        <v>16.239000007000001</v>
      </c>
      <c r="R24" s="182">
        <f>IF(AI30&lt;=0,"",AI30)</f>
        <v>57.285000000000004</v>
      </c>
      <c r="S24" s="217" t="str">
        <f t="shared" ref="S24:S25" si="10">IF(N24="Tie",AL30,"")</f>
        <v/>
      </c>
      <c r="T24" s="21" t="str">
        <f t="shared" si="1"/>
        <v>Deb KrugerFast Sassafrass</v>
      </c>
      <c r="U24" s="109">
        <f t="shared" si="2"/>
        <v>14.987</v>
      </c>
      <c r="W24" s="3" t="str">
        <f>IFERROR(VLOOKUP('Open 1'!F24,$AD$3:$AE$7,2,TRUE),"")</f>
        <v>2D</v>
      </c>
      <c r="X24" s="8" t="str">
        <f>IFERROR(IF(W24=$X$1,'Open 1'!F24,""),"")</f>
        <v/>
      </c>
      <c r="Y24" s="8">
        <f>IFERROR(IF(W24=$Y$1,'Open 1'!F24,""),"")</f>
        <v>14.987000023</v>
      </c>
      <c r="Z24" s="8" t="str">
        <f>IFERROR(IF(W24=$Z$1,'Open 1'!F24,""),"")</f>
        <v/>
      </c>
      <c r="AA24" s="8" t="str">
        <f>IFERROR(IF($W24=$AA$1,'Open 1'!F24,""),"")</f>
        <v/>
      </c>
      <c r="AB24" s="8" t="str">
        <f>IFERROR(IF(W24=$AB$1,'Open 1'!F24,""),"")</f>
        <v/>
      </c>
      <c r="AC24" s="18" t="s">
        <v>24</v>
      </c>
      <c r="AD24" s="269"/>
      <c r="AE24" s="73" t="str">
        <f t="shared" si="4"/>
        <v>3rd</v>
      </c>
      <c r="AF24" s="19" t="str">
        <f>IFERROR(INDEX('Open 1'!B:F,MATCH(AH24,'Open 1'!F:F,0),1),"-")</f>
        <v>Megan Rosendahl</v>
      </c>
      <c r="AG24" s="19" t="str">
        <f>IFERROR(INDEX('Open 1'!B:F,MATCH(AH24,'Open 1'!F:F,0),2),"-")</f>
        <v>A Dash of Jerzy Cash</v>
      </c>
      <c r="AH24" s="78">
        <f t="shared" si="9"/>
        <v>15.192000057</v>
      </c>
      <c r="AI24" s="215">
        <f>IF(AT6&gt;0,AT6,"")</f>
        <v>76.38000000000001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81"/>
      <c r="N25" s="37" t="str">
        <f>IF($K$13&lt;"4","",IF(AE31="Tie","Tie",AE31))</f>
        <v>-</v>
      </c>
      <c r="O25" s="26" t="str">
        <f>IF(N25="","",'Open 1'!AF31)</f>
        <v>-</v>
      </c>
      <c r="P25" s="26" t="str">
        <f>IF(O25="","",'Open 1'!AG31)</f>
        <v>-</v>
      </c>
      <c r="Q25" s="48" t="str">
        <f>IF(P25="","",'Open 1'!AH31)</f>
        <v>-</v>
      </c>
      <c r="R25" s="182">
        <f>IF(AI31&lt;=0,"",AI31)</f>
        <v>28.642500000000002</v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9"/>
      <c r="AE25" s="73" t="str">
        <f t="shared" si="4"/>
        <v>4th</v>
      </c>
      <c r="AF25" s="19" t="str">
        <f>IFERROR(INDEX('Open 1'!B:F,MATCH(AH25,'Open 1'!F:F,0),1),"-")</f>
        <v>Brittany Dieters</v>
      </c>
      <c r="AG25" s="19" t="str">
        <f>IFERROR(INDEX('Open 1'!B:F,MATCH(AH25,'Open 1'!F:F,0),2),"-")</f>
        <v>Carl's Bad Cat (Maui)</v>
      </c>
      <c r="AH25" s="78">
        <f t="shared" si="9"/>
        <v>15.241000057999999</v>
      </c>
      <c r="AI25" s="215">
        <f>IF(AT7&gt;0,AT7,"")</f>
        <v>38.190000000000005</v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 xml:space="preserve">Pam Elshere </v>
      </c>
      <c r="C26" s="23" t="str">
        <f>IFERROR(Draw!C26,"")</f>
        <v>Secret Storm Bug</v>
      </c>
      <c r="D26" s="168">
        <v>14.476000000000001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14.476000025000001</v>
      </c>
      <c r="G26" s="107">
        <f t="shared" si="0"/>
        <v>14.476000025000001</v>
      </c>
      <c r="H26" s="90" t="str">
        <f>IF(A26="yco",VLOOKUP(CONCATENATE(B26,C26),Youth!S:T,2,FALSE),IF(OR(AND(D26&gt;1,D26&lt;1050),D26="nt",D26="",D26="scratch"),"","Not valid"))</f>
        <v/>
      </c>
      <c r="M26" s="282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Pam Elshere Secret Storm Bug</v>
      </c>
      <c r="U26" s="109">
        <f t="shared" si="2"/>
        <v>14.476000000000001</v>
      </c>
      <c r="W26" s="3" t="str">
        <f>IFERROR(VLOOKUP('Open 1'!F26,$AD$3:$AE$7,2,TRUE),"")</f>
        <v>1D</v>
      </c>
      <c r="X26" s="8">
        <f>IFERROR(IF(W26=$X$1,'Open 1'!F26,""),"")</f>
        <v>14.476000025000001</v>
      </c>
      <c r="Y26" s="8" t="str">
        <f>IFERROR(IF(W26=$Y$1,'Open 1'!F26,""),"")</f>
        <v/>
      </c>
      <c r="Z26" s="8" t="str">
        <f>IFERROR(IF(W26=$Z$1,'Open 1'!F26,""),"")</f>
        <v/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9"/>
      <c r="AE26" s="73" t="str">
        <f t="shared" si="4"/>
        <v>5th</v>
      </c>
      <c r="AF26" s="19" t="str">
        <f>IFERROR(INDEX('Open 1'!B:F,MATCH(AH26,'Open 1'!F:F,0),1),"-")</f>
        <v>Janice Roebuck</v>
      </c>
      <c r="AG26" s="19" t="str">
        <f>IFERROR(INDEX('Open 1'!B:F,MATCH(AH26,'Open 1'!F:F,0),2),"-")</f>
        <v>Holly</v>
      </c>
      <c r="AH26" s="78">
        <f t="shared" si="9"/>
        <v>15.302000029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Bailey Logan</v>
      </c>
      <c r="C27" s="23" t="str">
        <f>IFERROR(Draw!C27,"")</f>
        <v>BrucesPeppyGal</v>
      </c>
      <c r="D27" s="60" t="s">
        <v>71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3000.0000000260002</v>
      </c>
      <c r="G27" s="107">
        <f t="shared" si="0"/>
        <v>3000.0000000260002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Bailey LoganBrucesPeppyGal</v>
      </c>
      <c r="U27" s="109" t="str">
        <f t="shared" si="2"/>
        <v>scratch</v>
      </c>
      <c r="W27" s="3" t="str">
        <f>IFERROR(VLOOKUP('Open 1'!F27,$AD$3:$AE$7,2,TRUE),"")</f>
        <v>4D</v>
      </c>
      <c r="X27" s="8" t="str">
        <f>IFERROR(IF(W27=$X$1,'Open 1'!F27,""),"")</f>
        <v/>
      </c>
      <c r="Y27" s="8" t="str">
        <f>IFERROR(IF(W27=$Y$1,'Open 1'!F27,""),"")</f>
        <v/>
      </c>
      <c r="Z27" s="8" t="str">
        <f>IFERROR(IF(W27=$Z$1,'Open 1'!F27,""),"")</f>
        <v/>
      </c>
      <c r="AA27" s="8">
        <f>IFERROR(IF($W27=$AA$1,'Open 1'!F27,""),"")</f>
        <v>3000.0000000260002</v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Pam Vankekerix</v>
      </c>
      <c r="AG27" s="19" t="str">
        <f>IFERROR(INDEX('Open 1'!B:F,MATCH(AH27,'Open 1'!F:F,0),2),"-")</f>
        <v>JPS Kas IM stylish</v>
      </c>
      <c r="AH27" s="78">
        <f t="shared" si="9"/>
        <v>15.406000049000001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Andrea Hansen</v>
      </c>
      <c r="C28" s="23" t="str">
        <f>IFERROR(Draw!C28,"")</f>
        <v>Betty</v>
      </c>
      <c r="D28" s="59">
        <v>915.08799999999997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915.08800002700002</v>
      </c>
      <c r="G28" s="107">
        <f t="shared" si="0"/>
        <v>915.08800002700002</v>
      </c>
      <c r="H28" s="90" t="str">
        <f>IF(A28="yco",VLOOKUP(CONCATENATE(B28,C28),Youth!S:T,2,FALSE),IF(OR(AND(D28&gt;1,D28&lt;1050),D28="nt",D28="",D28="scratch"),"","Not valid"))</f>
        <v/>
      </c>
      <c r="M28" s="271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Andrea HansenBetty</v>
      </c>
      <c r="U28" s="109">
        <f t="shared" si="2"/>
        <v>915.08799999999997</v>
      </c>
      <c r="W28" s="3" t="str">
        <f>IFERROR(VLOOKUP('Open 1'!F28,$AD$3:$AE$7,2,TRUE),"")</f>
        <v>4D</v>
      </c>
      <c r="X28" s="8" t="str">
        <f>IFERROR(IF(W28=$X$1,'Open 1'!F28,""),"")</f>
        <v/>
      </c>
      <c r="Y28" s="8" t="str">
        <f>IFERROR(IF(W28=$Y$1,'Open 1'!F28,""),"")</f>
        <v/>
      </c>
      <c r="Z28" s="8" t="str">
        <f>IFERROR(IF(W28=$Z$1,'Open 1'!F28,""),"")</f>
        <v/>
      </c>
      <c r="AA28" s="8">
        <f>IFERROR(IF($W28=$AA$1,'Open 1'!F28,""),"")</f>
        <v>915.08800002700002</v>
      </c>
      <c r="AB28" s="8" t="str">
        <f>IFERROR(IF(W28=$AB$1,'Open 1'!F28,""),"")</f>
        <v/>
      </c>
      <c r="AC28" s="18" t="s">
        <v>20</v>
      </c>
      <c r="AD28" s="269" t="s">
        <v>6</v>
      </c>
      <c r="AE28" s="73" t="str">
        <f t="shared" si="4"/>
        <v>1st</v>
      </c>
      <c r="AF28" s="19" t="str">
        <f>IFERROR(INDEX('Open 1'!B:F,MATCH(AH28,'Open 1'!F:F,0),1),"-")</f>
        <v>Olivia Selleck</v>
      </c>
      <c r="AG28" s="19" t="str">
        <f>IFERROR(INDEX('Open 1'!B:F,MATCH(AH28,'Open 1'!F:F,0),2),"-")</f>
        <v>TresTimesTheDynamite</v>
      </c>
      <c r="AH28" s="4">
        <f t="shared" ref="AH28:AH33" si="12">IFERROR(IF(SMALL($AA$2:$AA$286,AJ28)&lt;900,SMALL($AA$2:$AA$286,AJ28),"-"),"-")</f>
        <v>16.016000063</v>
      </c>
      <c r="AI28" s="215">
        <f>IF(AU4&gt;0,AU4,"")</f>
        <v>114.57000000000001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Denise Benney</v>
      </c>
      <c r="C29" s="23" t="str">
        <f>IFERROR(Draw!C29,"")</f>
        <v>Cheyenne</v>
      </c>
      <c r="D29" s="60" t="s">
        <v>71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3000.0000000280002</v>
      </c>
      <c r="G29" s="107">
        <f t="shared" si="0"/>
        <v>3000.0000000280002</v>
      </c>
      <c r="H29" s="90" t="str">
        <f>IF(A29="yco",VLOOKUP(CONCATENATE(B29,C29),Youth!S:T,2,FALSE),IF(OR(AND(D29&gt;1,D29&lt;1050),D29="nt",D29="",D29="scratch"),"","Not valid"))</f>
        <v/>
      </c>
      <c r="M29" s="272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Denise BenneyCheyenne</v>
      </c>
      <c r="U29" s="109" t="str">
        <f t="shared" si="2"/>
        <v>scratch</v>
      </c>
      <c r="W29" s="3" t="str">
        <f>IFERROR(VLOOKUP('Open 1'!F29,$AD$3:$AE$7,2,TRUE),"")</f>
        <v>4D</v>
      </c>
      <c r="X29" s="8" t="str">
        <f>IFERROR(IF(W29=$X$1,'Open 1'!F29,""),"")</f>
        <v/>
      </c>
      <c r="Y29" s="8" t="str">
        <f>IFERROR(IF(W29=$Y$1,'Open 1'!F29,""),"")</f>
        <v/>
      </c>
      <c r="Z29" s="8" t="str">
        <f>IFERROR(IF(W29=$Z$1,'Open 1'!F29,""),"")</f>
        <v/>
      </c>
      <c r="AA29" s="8">
        <f>IFERROR(IF($W29=$AA$1,'Open 1'!F29,""),"")</f>
        <v>3000.0000000280002</v>
      </c>
      <c r="AB29" s="8" t="str">
        <f>IFERROR(IF(W29=$AB$1,'Open 1'!F29,""),"")</f>
        <v/>
      </c>
      <c r="AC29" s="18" t="s">
        <v>21</v>
      </c>
      <c r="AD29" s="269"/>
      <c r="AE29" s="73" t="str">
        <f t="shared" si="4"/>
        <v>2nd</v>
      </c>
      <c r="AF29" s="19" t="str">
        <f>IFERROR(INDEX('Open 1'!B:F,MATCH(AH29,'Open 1'!F:F,0),1),"-")</f>
        <v>Carrie Dieters</v>
      </c>
      <c r="AG29" s="19" t="str">
        <f>IFERROR(INDEX('Open 1'!B:F,MATCH(AH29,'Open 1'!F:F,0),2),"-")</f>
        <v>A Guy With Fame</v>
      </c>
      <c r="AH29" s="4">
        <f t="shared" si="12"/>
        <v>16.107000082999999</v>
      </c>
      <c r="AI29" s="215">
        <f>IF(AU5&gt;0,AU5,"")</f>
        <v>85.927499999999995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Janice Roebuck</v>
      </c>
      <c r="C30" s="23" t="str">
        <f>IFERROR(Draw!C30,"")</f>
        <v>Holly</v>
      </c>
      <c r="D30" s="62">
        <v>15.302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15.302000029</v>
      </c>
      <c r="G30" s="107">
        <f t="shared" si="0"/>
        <v>15.302000029</v>
      </c>
      <c r="H30" s="90" t="str">
        <f>IF(A30="yco",VLOOKUP(CONCATENATE(B30,C30),Youth!S:T,2,FALSE),IF(OR(AND(D30&gt;1,D30&lt;1050),D30="nt",D30="",D30="scratch"),"","Not valid"))</f>
        <v/>
      </c>
      <c r="M30" s="272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Janice RoebuckHolly</v>
      </c>
      <c r="U30" s="109">
        <f t="shared" si="2"/>
        <v>15.302</v>
      </c>
      <c r="W30" s="3" t="str">
        <f>IFERROR(VLOOKUP('Open 1'!F30,$AD$3:$AE$7,2,TRUE),"")</f>
        <v>3D</v>
      </c>
      <c r="X30" s="8" t="str">
        <f>IFERROR(IF(W30=$X$1,'Open 1'!F30,""),"")</f>
        <v/>
      </c>
      <c r="Y30" s="8" t="str">
        <f>IFERROR(IF(W30=$Y$1,'Open 1'!F30,""),"")</f>
        <v/>
      </c>
      <c r="Z30" s="8">
        <f>IFERROR(IF(W30=$Z$1,'Open 1'!F30,""),"")</f>
        <v>15.302000029</v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69"/>
      <c r="AE30" s="73" t="str">
        <f t="shared" si="4"/>
        <v>3rd</v>
      </c>
      <c r="AF30" s="19" t="str">
        <f>IFERROR(INDEX('Open 1'!B:F,MATCH(AH30,'Open 1'!F:F,0),1),"-")</f>
        <v>Megan Thorson</v>
      </c>
      <c r="AG30" s="19" t="str">
        <f>IFERROR(INDEX('Open 1'!B:F,MATCH(AH30,'Open 1'!F:F,0),2),"-")</f>
        <v>Rocky Rio Rebel</v>
      </c>
      <c r="AH30" s="4">
        <f t="shared" si="12"/>
        <v>16.239000007000001</v>
      </c>
      <c r="AI30" s="215">
        <f>IF(AU6&gt;0,AU6,"")</f>
        <v>57.285000000000004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72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9"/>
      <c r="AE31" s="73" t="str">
        <f t="shared" si="4"/>
        <v>-</v>
      </c>
      <c r="AF31" s="19" t="str">
        <f>IFERROR(INDEX('Open 1'!B:F,MATCH(AH31,'Open 1'!F:F,0),1),"-")</f>
        <v>-</v>
      </c>
      <c r="AG31" s="19" t="str">
        <f>IFERROR(INDEX('Open 1'!B:F,MATCH(AH31,'Open 1'!F:F,0),2),"-")</f>
        <v>-</v>
      </c>
      <c r="AH31" s="4" t="str">
        <f t="shared" si="12"/>
        <v>-</v>
      </c>
      <c r="AI31" s="215">
        <f>IF(AU7&gt;0,AU7,"")</f>
        <v>28.642500000000002</v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Sierra Berg</v>
      </c>
      <c r="C32" s="23" t="str">
        <f>IFERROR(Draw!C32,"")</f>
        <v>Houdini</v>
      </c>
      <c r="D32" s="61">
        <v>20.388999999999999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4000.0000000310001</v>
      </c>
      <c r="G32" s="107" t="str">
        <f t="shared" si="0"/>
        <v/>
      </c>
      <c r="H32" s="90" t="str">
        <f>IF(A32="yco",VLOOKUP(CONCATENATE(B32,C32),Youth!S:T,2,FALSE),IF(OR(AND(D32&gt;1,D32&lt;1050),D32="nt",D32="",D32="scratch"),"","Not valid"))</f>
        <v/>
      </c>
      <c r="M32" s="273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Sierra BergHoudini</v>
      </c>
      <c r="U32" s="109">
        <f t="shared" si="2"/>
        <v>20.388999999999999</v>
      </c>
      <c r="W32" s="3" t="str">
        <f>IFERROR(VLOOKUP('Open 1'!F32,$AD$3:$AE$7,2,TRUE),"")</f>
        <v>4D</v>
      </c>
      <c r="X32" s="8" t="str">
        <f>IFERROR(IF(W32=$X$1,'Open 1'!F32,""),"")</f>
        <v/>
      </c>
      <c r="Y32" s="8" t="str">
        <f>IFERROR(IF(W32=$Y$1,'Open 1'!F32,""),"")</f>
        <v/>
      </c>
      <c r="Z32" s="8" t="str">
        <f>IFERROR(IF(W32=$Z$1,'Open 1'!F32,""),"")</f>
        <v/>
      </c>
      <c r="AA32" s="8">
        <f>IFERROR(IF($W32=$AA$1,'Open 1'!F32,""),"")</f>
        <v>4000.0000000310001</v>
      </c>
      <c r="AB32" s="8" t="str">
        <f>IFERROR(IF(W32=$AB$1,'Open 1'!F32,""),"")</f>
        <v/>
      </c>
      <c r="AC32" s="18" t="s">
        <v>26</v>
      </c>
      <c r="AD32" s="269"/>
      <c r="AE32" s="73" t="str">
        <f t="shared" si="4"/>
        <v>-</v>
      </c>
      <c r="AF32" s="19" t="str">
        <f>IFERROR(INDEX('Open 1'!B:F,MATCH(AH32,'Open 1'!F:F,0),1),"-")</f>
        <v>-</v>
      </c>
      <c r="AG32" s="19" t="str">
        <f>IFERROR(INDEX('Open 1'!B:F,MATCH(AH32,'Open 1'!F:F,0),2),"-")</f>
        <v>-</v>
      </c>
      <c r="AH32" s="4" t="str">
        <f t="shared" si="12"/>
        <v>-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Nicole VanWell</v>
      </c>
      <c r="C33" s="23" t="str">
        <f>IFERROR(Draw!C33,"")</f>
        <v>Slick Velvet Kat</v>
      </c>
      <c r="D33" s="60">
        <v>915.05100000000004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915.05100003200005</v>
      </c>
      <c r="G33" s="107">
        <f t="shared" si="0"/>
        <v>915.05100003200005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Nicole VanWellSlick Velvet Kat</v>
      </c>
      <c r="U33" s="109">
        <f t="shared" si="2"/>
        <v>915.05100000000004</v>
      </c>
      <c r="W33" s="3" t="str">
        <f>IFERROR(VLOOKUP('Open 1'!F33,$AD$3:$AE$7,2,TRUE),"")</f>
        <v>4D</v>
      </c>
      <c r="X33" s="8" t="str">
        <f>IFERROR(IF(W33=$X$1,'Open 1'!F33,""),"")</f>
        <v/>
      </c>
      <c r="Y33" s="8" t="str">
        <f>IFERROR(IF(W33=$Y$1,'Open 1'!F33,""),"")</f>
        <v/>
      </c>
      <c r="Z33" s="8" t="str">
        <f>IFERROR(IF(W33=$Z$1,'Open 1'!F33,""),"")</f>
        <v/>
      </c>
      <c r="AA33" s="8">
        <f>IFERROR(IF($W33=$AA$1,'Open 1'!F33,""),"")</f>
        <v>915.05100003200005</v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-</v>
      </c>
      <c r="AF33" s="19" t="str">
        <f>IFERROR(INDEX('Open 1'!B:F,MATCH(AH33,'Open 1'!F:F,0),1),"-")</f>
        <v>-</v>
      </c>
      <c r="AG33" s="19" t="str">
        <f>IFERROR(INDEX('Open 1'!B:F,MATCH(AH33,'Open 1'!F:F,0),2),"-")</f>
        <v>-</v>
      </c>
      <c r="AH33" s="4" t="str">
        <f t="shared" si="12"/>
        <v>-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Makayla Cross</v>
      </c>
      <c r="C34" s="23" t="str">
        <f>IFERROR(Draw!C34,"")</f>
        <v>Aishas Burnin Love</v>
      </c>
      <c r="D34" s="60">
        <v>14.22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14.220000033</v>
      </c>
      <c r="G34" s="107">
        <f t="shared" si="0"/>
        <v>14.220000033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Makayla CrossAishas Burnin Love</v>
      </c>
      <c r="U34" s="109">
        <f t="shared" si="2"/>
        <v>14.22</v>
      </c>
      <c r="W34" s="3" t="str">
        <f>IFERROR(VLOOKUP('Open 1'!F34,$AD$3:$AE$7,2,TRUE),"")</f>
        <v>1D</v>
      </c>
      <c r="X34" s="8">
        <f>IFERROR(IF(W34=$X$1,'Open 1'!F34,""),"")</f>
        <v>14.220000033</v>
      </c>
      <c r="Y34" s="8" t="str">
        <f>IFERROR(IF(W34=$Y$1,'Open 1'!F34,""),"")</f>
        <v/>
      </c>
      <c r="Z34" s="8" t="str">
        <f>IFERROR(IF(W34=$Z$1,'Open 1'!F34,""),"")</f>
        <v/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69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Shana Lensing</v>
      </c>
      <c r="C35" s="23" t="str">
        <f>IFERROR(Draw!C35,"")</f>
        <v>Dinkys Leroy Cash</v>
      </c>
      <c r="D35" s="60">
        <v>14.531000000000001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14.531000034</v>
      </c>
      <c r="G35" s="107">
        <f t="shared" si="0"/>
        <v>14.531000034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Shana LensingDinkys Leroy Cash</v>
      </c>
      <c r="U35" s="109">
        <f t="shared" si="2"/>
        <v>14.531000000000001</v>
      </c>
      <c r="W35" s="3" t="str">
        <f>IFERROR(VLOOKUP('Open 1'!F35,$AD$3:$AE$7,2,TRUE),"")</f>
        <v>2D</v>
      </c>
      <c r="X35" s="8" t="str">
        <f>IFERROR(IF(W35=$X$1,'Open 1'!F35,""),"")</f>
        <v/>
      </c>
      <c r="Y35" s="8">
        <f>IFERROR(IF(W35=$Y$1,'Open 1'!F35,""),"")</f>
        <v>14.531000034</v>
      </c>
      <c r="Z35" s="8" t="str">
        <f>IFERROR(IF(W35=$Z$1,'Open 1'!F35,""),"")</f>
        <v/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69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Kristine DeBerg</v>
      </c>
      <c r="C36" s="23" t="str">
        <f>IFERROR(Draw!C36,"")</f>
        <v>Streakinblondelegacy</v>
      </c>
      <c r="D36" s="62">
        <v>14.762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14.762000035</v>
      </c>
      <c r="G36" s="107">
        <f t="shared" si="0"/>
        <v>14.762000035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Kristine DeBergStreakinblondelegacy</v>
      </c>
      <c r="U36" s="109">
        <f t="shared" si="2"/>
        <v>14.762</v>
      </c>
      <c r="W36" s="3" t="str">
        <f>IFERROR(VLOOKUP('Open 1'!F36,$AD$3:$AE$7,2,TRUE),"")</f>
        <v>2D</v>
      </c>
      <c r="X36" s="8" t="str">
        <f>IFERROR(IF(W36=$X$1,'Open 1'!F36,""),"")</f>
        <v/>
      </c>
      <c r="Y36" s="8">
        <f>IFERROR(IF(W36=$Y$1,'Open 1'!F36,""),"")</f>
        <v>14.762000035</v>
      </c>
      <c r="Z36" s="8" t="str">
        <f>IFERROR(IF(W36=$Z$1,'Open 1'!F36,""),"")</f>
        <v/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69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9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Candice Aamot</v>
      </c>
      <c r="C38" s="23" t="str">
        <f>IFERROR(Draw!C38,"")</f>
        <v>Streaker</v>
      </c>
      <c r="D38" s="59" t="s">
        <v>244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1000.0000000369999</v>
      </c>
      <c r="G38" s="107">
        <f t="shared" si="0"/>
        <v>1000.0000000369999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Candice AamotStreaker</v>
      </c>
      <c r="U38" s="109" t="str">
        <f t="shared" si="2"/>
        <v>nt</v>
      </c>
      <c r="W38" s="3" t="str">
        <f>IFERROR(VLOOKUP('Open 1'!F38,$AD$3:$AE$7,2,TRUE),"")</f>
        <v>4D</v>
      </c>
      <c r="X38" s="8" t="str">
        <f>IFERROR(IF(W38=$X$1,'Open 1'!F38,""),"")</f>
        <v/>
      </c>
      <c r="Y38" s="8" t="str">
        <f>IFERROR(IF(W38=$Y$1,'Open 1'!F38,""),"")</f>
        <v/>
      </c>
      <c r="Z38" s="8" t="str">
        <f>IFERROR(IF(W38=$Z$1,'Open 1'!F38,""),"")</f>
        <v/>
      </c>
      <c r="AA38" s="8">
        <f>IFERROR(IF($W38=$AA$1,'Open 1'!F38,""),"")</f>
        <v>1000.0000000369999</v>
      </c>
      <c r="AB38" s="8" t="str">
        <f>IFERROR(IF(W38=$AB$1,'Open 1'!F38,""),"")</f>
        <v/>
      </c>
      <c r="AC38" s="18" t="s">
        <v>26</v>
      </c>
      <c r="AD38" s="274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Autumn Maxfield</v>
      </c>
      <c r="C39" s="23" t="str">
        <f>IFERROR(Draw!C39,"")</f>
        <v>Split</v>
      </c>
      <c r="D39" s="60">
        <v>16.576000000000001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4000.0000000380001</v>
      </c>
      <c r="G39" s="107" t="str">
        <f t="shared" si="0"/>
        <v/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Autumn MaxfieldSplit</v>
      </c>
      <c r="U39" s="109">
        <f t="shared" si="2"/>
        <v>16.576000000000001</v>
      </c>
      <c r="W39" s="3" t="str">
        <f>IFERROR(VLOOKUP('Open 1'!F39,$AD$3:$AE$7,2,TRUE),"")</f>
        <v>4D</v>
      </c>
      <c r="X39" s="8" t="str">
        <f>IFERROR(IF(W39=$X$1,'Open 1'!F39,""),"")</f>
        <v/>
      </c>
      <c r="Y39" s="8" t="str">
        <f>IFERROR(IF(W39=$Y$1,'Open 1'!F39,""),"")</f>
        <v/>
      </c>
      <c r="Z39" s="8" t="str">
        <f>IFERROR(IF(W39=$Z$1,'Open 1'!F39,""),"")</f>
        <v/>
      </c>
      <c r="AA39" s="8">
        <f>IFERROR(IF($W39=$AA$1,'Open 1'!F39,""),"")</f>
        <v>4000.0000000380001</v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Kayleigh Maras</v>
      </c>
      <c r="C40" s="23" t="str">
        <f>IFERROR(Draw!C40,"")</f>
        <v>Mayor Perks</v>
      </c>
      <c r="D40" s="62">
        <v>14.3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14.300000039</v>
      </c>
      <c r="G40" s="107">
        <f t="shared" si="0"/>
        <v>14.300000039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Kayleigh MarasMayor Perks</v>
      </c>
      <c r="U40" s="109">
        <f t="shared" si="2"/>
        <v>14.3</v>
      </c>
      <c r="W40" s="3" t="str">
        <f>IFERROR(VLOOKUP('Open 1'!F40,$AD$3:$AE$7,2,TRUE),"")</f>
        <v>1D</v>
      </c>
      <c r="X40" s="8">
        <f>IFERROR(IF(W40=$X$1,'Open 1'!F40,""),"")</f>
        <v>14.300000039</v>
      </c>
      <c r="Y40" s="8" t="str">
        <f>IFERROR(IF(W40=$Y$1,'Open 1'!F40,""),"")</f>
        <v/>
      </c>
      <c r="Z40" s="8" t="str">
        <f>IFERROR(IF(W40=$Z$1,'Open 1'!F40,""),"")</f>
        <v/>
      </c>
      <c r="AA40" s="8" t="str">
        <f>IFERROR(IF($W40=$AA$1,'Open 1'!F40,""),"")</f>
        <v/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Jackie Feikema</v>
      </c>
      <c r="C41" s="23" t="str">
        <f>IFERROR(Draw!C41,"")</f>
        <v>Marked With Chrome</v>
      </c>
      <c r="D41" s="60">
        <v>916.101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916.10100004000003</v>
      </c>
      <c r="G41" s="107">
        <f t="shared" si="0"/>
        <v>916.10100004000003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Jackie FeikemaMarked With Chrome</v>
      </c>
      <c r="U41" s="109">
        <f t="shared" si="2"/>
        <v>916.101</v>
      </c>
      <c r="W41" s="3" t="str">
        <f>IFERROR(VLOOKUP('Open 1'!F41,$AD$3:$AE$7,2,TRUE),"")</f>
        <v>4D</v>
      </c>
      <c r="X41" s="8" t="str">
        <f>IFERROR(IF(W41=$X$1,'Open 1'!F41,""),"")</f>
        <v/>
      </c>
      <c r="Y41" s="8" t="str">
        <f>IFERROR(IF(W41=$Y$1,'Open 1'!F41,""),"")</f>
        <v/>
      </c>
      <c r="Z41" s="8" t="str">
        <f>IFERROR(IF(W41=$Z$1,'Open 1'!F41,""),"")</f>
        <v/>
      </c>
      <c r="AA41" s="8">
        <f>IFERROR(IF($W41=$AA$1,'Open 1'!F41,""),"")</f>
        <v>916.10100004000003</v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Kendall Gillen</v>
      </c>
      <c r="C42" s="23" t="str">
        <f>IFERROR(Draw!C42,"")</f>
        <v>Blue Eyes</v>
      </c>
      <c r="D42" s="61">
        <v>15.035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4000.000000041</v>
      </c>
      <c r="G42" s="107" t="str">
        <f t="shared" si="0"/>
        <v/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Kendall GillenBlue Eyes</v>
      </c>
      <c r="U42" s="109">
        <f t="shared" si="2"/>
        <v>15.035</v>
      </c>
      <c r="W42" s="3" t="str">
        <f>IFERROR(VLOOKUP('Open 1'!F42,$AD$3:$AE$7,2,TRUE),"")</f>
        <v>4D</v>
      </c>
      <c r="X42" s="8" t="str">
        <f>IFERROR(IF(W42=$X$1,'Open 1'!F42,""),"")</f>
        <v/>
      </c>
      <c r="Y42" s="8" t="str">
        <f>IFERROR(IF(W42=$Y$1,'Open 1'!F42,""),"")</f>
        <v/>
      </c>
      <c r="Z42" s="8" t="str">
        <f>IFERROR(IF(W42=$Z$1,'Open 1'!F42,""),"")</f>
        <v/>
      </c>
      <c r="AA42" s="8">
        <f>IFERROR(IF($W42=$AA$1,'Open 1'!F42,""),"")</f>
        <v>4000.000000041</v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Lenae Wiersma</v>
      </c>
      <c r="C44" s="23" t="str">
        <f>IFERROR(Draw!C44,"")</f>
        <v>TBD</v>
      </c>
      <c r="D44" s="59" t="s">
        <v>71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3000.000000043</v>
      </c>
      <c r="G44" s="107">
        <f t="shared" si="0"/>
        <v>3000.000000043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Lenae WiersmaTBD</v>
      </c>
      <c r="U44" s="109" t="str">
        <f t="shared" si="2"/>
        <v>scratch</v>
      </c>
      <c r="W44" s="3" t="str">
        <f>IFERROR(VLOOKUP('Open 1'!F44,$AD$3:$AE$7,2,TRUE),"")</f>
        <v>4D</v>
      </c>
      <c r="X44" s="8" t="str">
        <f>IFERROR(IF(W44=$X$1,'Open 1'!F44,""),"")</f>
        <v/>
      </c>
      <c r="Y44" s="8" t="str">
        <f>IFERROR(IF(W44=$Y$1,'Open 1'!F44,""),"")</f>
        <v/>
      </c>
      <c r="Z44" s="8" t="str">
        <f>IFERROR(IF(W44=$Z$1,'Open 1'!F44,""),"")</f>
        <v/>
      </c>
      <c r="AA44" s="8">
        <f>IFERROR(IF($W44=$AA$1,'Open 1'!F44,""),"")</f>
        <v>3000.000000043</v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Aleah Marco</v>
      </c>
      <c r="C45" s="23" t="str">
        <f>IFERROR(Draw!C45,"")</f>
        <v>Premier Passum</v>
      </c>
      <c r="D45" s="60" t="s">
        <v>71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3000.000000044</v>
      </c>
      <c r="G45" s="107">
        <f t="shared" si="0"/>
        <v>3000.000000044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Aleah MarcoPremier Passum</v>
      </c>
      <c r="U45" s="109" t="str">
        <f t="shared" si="2"/>
        <v>scratch</v>
      </c>
      <c r="W45" s="3" t="str">
        <f>IFERROR(VLOOKUP('Open 1'!F45,$AD$3:$AE$7,2,TRUE),"")</f>
        <v>4D</v>
      </c>
      <c r="X45" s="8" t="str">
        <f>IFERROR(IF(W45=$X$1,'Open 1'!F45,""),"")</f>
        <v/>
      </c>
      <c r="Y45" s="8" t="str">
        <f>IFERROR(IF(W45=$Y$1,'Open 1'!F45,""),"")</f>
        <v/>
      </c>
      <c r="Z45" s="8" t="str">
        <f>IFERROR(IF(W45=$Z$1,'Open 1'!F45,""),"")</f>
        <v/>
      </c>
      <c r="AA45" s="8">
        <f>IFERROR(IF($W45=$AA$1,'Open 1'!F45,""),"")</f>
        <v>3000.000000044</v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Kamber Bosse</v>
      </c>
      <c r="C46" s="23" t="str">
        <f>IFERROR(Draw!C46,"")</f>
        <v>ACSparklinMoonshine</v>
      </c>
      <c r="D46" s="60">
        <v>15.012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15.012000045000001</v>
      </c>
      <c r="G46" s="107">
        <f t="shared" si="0"/>
        <v>15.012000045000001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Kamber BosseACSparklinMoonshine</v>
      </c>
      <c r="U46" s="109">
        <f t="shared" si="2"/>
        <v>15.012</v>
      </c>
      <c r="W46" s="3" t="str">
        <f>IFERROR(VLOOKUP('Open 1'!F46,$AD$3:$AE$7,2,TRUE),"")</f>
        <v>2D</v>
      </c>
      <c r="X46" s="8" t="str">
        <f>IFERROR(IF(W46=$X$1,'Open 1'!F46,""),"")</f>
        <v/>
      </c>
      <c r="Y46" s="8">
        <f>IFERROR(IF(W46=$Y$1,'Open 1'!F46,""),"")</f>
        <v>15.012000045000001</v>
      </c>
      <c r="Z46" s="8" t="str">
        <f>IFERROR(IF(W46=$Z$1,'Open 1'!F46,""),"")</f>
        <v/>
      </c>
      <c r="AA46" s="8" t="str">
        <f>IFERROR(IF($W46=$AA$1,'Open 1'!F46,""),"")</f>
        <v/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Hayden Seitz</v>
      </c>
      <c r="C47" s="23" t="str">
        <f>IFERROR(Draw!C47,"")</f>
        <v>Jitter</v>
      </c>
      <c r="D47" s="60">
        <v>15.1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15.100000046</v>
      </c>
      <c r="G47" s="107">
        <f t="shared" si="0"/>
        <v>15.100000046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Hayden SeitzJitter</v>
      </c>
      <c r="U47" s="109">
        <f t="shared" si="2"/>
        <v>15.1</v>
      </c>
      <c r="W47" s="3" t="str">
        <f>IFERROR(VLOOKUP('Open 1'!F47,$AD$3:$AE$7,2,TRUE),"")</f>
        <v>3D</v>
      </c>
      <c r="X47" s="8" t="str">
        <f>IFERROR(IF(W47=$X$1,'Open 1'!F47,""),"")</f>
        <v/>
      </c>
      <c r="Y47" s="8" t="str">
        <f>IFERROR(IF(W47=$Y$1,'Open 1'!F47,""),"")</f>
        <v/>
      </c>
      <c r="Z47" s="8">
        <f>IFERROR(IF(W47=$Z$1,'Open 1'!F47,""),"")</f>
        <v>15.100000046</v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Jodie Greig</v>
      </c>
      <c r="C48" s="23" t="str">
        <f>IFERROR(Draw!C48,"")</f>
        <v xml:space="preserve">Streakin On Fame </v>
      </c>
      <c r="D48" s="62">
        <v>14.253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14.253000047</v>
      </c>
      <c r="G48" s="107">
        <f t="shared" si="0"/>
        <v>14.253000047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 xml:space="preserve">Jodie GreigStreakin On Fame </v>
      </c>
      <c r="U48" s="109">
        <f t="shared" si="2"/>
        <v>14.253</v>
      </c>
      <c r="W48" s="3" t="str">
        <f>IFERROR(VLOOKUP('Open 1'!F48,$AD$3:$AE$7,2,TRUE),"")</f>
        <v>1D</v>
      </c>
      <c r="X48" s="8">
        <f>IFERROR(IF(W48=$X$1,'Open 1'!F48,""),"")</f>
        <v>14.253000047</v>
      </c>
      <c r="Y48" s="8" t="str">
        <f>IFERROR(IF(W48=$Y$1,'Open 1'!F48,""),"")</f>
        <v/>
      </c>
      <c r="Z48" s="8" t="str">
        <f>IFERROR(IF(W48=$Z$1,'Open 1'!F48,""),"")</f>
        <v/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Pam Vankekerix</v>
      </c>
      <c r="C50" s="23" t="str">
        <f>IFERROR(Draw!C50,"")</f>
        <v>JPS Kas IM stylish</v>
      </c>
      <c r="D50" s="59">
        <v>15.406000000000001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15.406000049000001</v>
      </c>
      <c r="G50" s="107">
        <f t="shared" si="0"/>
        <v>15.406000049000001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Pam VankekerixJPS Kas IM stylish</v>
      </c>
      <c r="U50" s="109">
        <f t="shared" si="2"/>
        <v>15.406000000000001</v>
      </c>
      <c r="W50" s="3" t="str">
        <f>IFERROR(VLOOKUP('Open 1'!F50,$AD$3:$AE$7,2,TRUE),"")</f>
        <v>3D</v>
      </c>
      <c r="X50" s="8" t="str">
        <f>IFERROR(IF(W50=$X$1,'Open 1'!F50,""),"")</f>
        <v/>
      </c>
      <c r="Y50" s="8" t="str">
        <f>IFERROR(IF(W50=$Y$1,'Open 1'!F50,""),"")</f>
        <v/>
      </c>
      <c r="Z50" s="8">
        <f>IFERROR(IF(W50=$Z$1,'Open 1'!F50,""),"")</f>
        <v>15.406000049000001</v>
      </c>
      <c r="AA50" s="8" t="str">
        <f>IFERROR(IF($W50=$AA$1,'Open 1'!F50,""),"")</f>
        <v/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Kristan Soukup</v>
      </c>
      <c r="C51" s="23" t="str">
        <f>IFERROR(Draw!C51,"")</f>
        <v>PC Sun Needs Fame</v>
      </c>
      <c r="D51" s="60">
        <v>14.484999999999999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14.48500005</v>
      </c>
      <c r="G51" s="107">
        <f t="shared" si="0"/>
        <v>14.48500005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Kristan SoukupPC Sun Needs Fame</v>
      </c>
      <c r="U51" s="109">
        <f t="shared" si="2"/>
        <v>14.484999999999999</v>
      </c>
      <c r="W51" s="3" t="str">
        <f>IFERROR(VLOOKUP('Open 1'!F51,$AD$3:$AE$7,2,TRUE),"")</f>
        <v>1D</v>
      </c>
      <c r="X51" s="8">
        <f>IFERROR(IF(W51=$X$1,'Open 1'!F51,""),"")</f>
        <v>14.48500005</v>
      </c>
      <c r="Y51" s="8" t="str">
        <f>IFERROR(IF(W51=$Y$1,'Open 1'!F51,""),"")</f>
        <v/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Sara Jo Lamb</v>
      </c>
      <c r="C52" s="23" t="str">
        <f>IFERROR(Draw!C52,"")</f>
        <v>Last Chance Fling</v>
      </c>
      <c r="D52" s="60">
        <v>914.06799999999998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914.06800005100001</v>
      </c>
      <c r="G52" s="107">
        <f t="shared" si="0"/>
        <v>914.06800005100001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Sara Jo LambLast Chance Fling</v>
      </c>
      <c r="U52" s="109">
        <f t="shared" si="2"/>
        <v>914.06799999999998</v>
      </c>
      <c r="W52" s="3" t="str">
        <f>IFERROR(VLOOKUP('Open 1'!F52,$AD$3:$AE$7,2,TRUE),"")</f>
        <v>4D</v>
      </c>
      <c r="X52" s="8" t="str">
        <f>IFERROR(IF(W52=$X$1,'Open 1'!F52,""),"")</f>
        <v/>
      </c>
      <c r="Y52" s="8" t="str">
        <f>IFERROR(IF(W52=$Y$1,'Open 1'!F52,""),"")</f>
        <v/>
      </c>
      <c r="Z52" s="8" t="str">
        <f>IFERROR(IF(W52=$Z$1,'Open 1'!F52,""),"")</f>
        <v/>
      </c>
      <c r="AA52" s="8">
        <f>IFERROR(IF($W52=$AA$1,'Open 1'!F52,""),"")</f>
        <v>914.06800005100001</v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Megan Thorson</v>
      </c>
      <c r="C53" s="23" t="str">
        <f>IFERROR(Draw!C53,"")</f>
        <v>MMT Rox My World</v>
      </c>
      <c r="D53" s="60">
        <v>915.58500000000004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915.58500005200005</v>
      </c>
      <c r="G53" s="107">
        <f t="shared" si="0"/>
        <v>915.58500005200005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Megan ThorsonMMT Rox My World</v>
      </c>
      <c r="U53" s="109">
        <f t="shared" si="2"/>
        <v>915.58500000000004</v>
      </c>
      <c r="W53" s="3" t="str">
        <f>IFERROR(VLOOKUP('Open 1'!F53,$AD$3:$AE$7,2,TRUE),"")</f>
        <v>4D</v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>
        <f>IFERROR(IF($W53=$AA$1,'Open 1'!F53,""),"")</f>
        <v>915.58500005200005</v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Anne Ammot</v>
      </c>
      <c r="C54" s="23" t="str">
        <f>IFERROR(Draw!C54,"")</f>
        <v>Hattie</v>
      </c>
      <c r="D54" s="62">
        <v>15.449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15.449000053000001</v>
      </c>
      <c r="G54" s="107">
        <f t="shared" si="0"/>
        <v>15.449000053000001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Anne AmmotHattie</v>
      </c>
      <c r="U54" s="109">
        <f t="shared" si="2"/>
        <v>15.449</v>
      </c>
      <c r="W54" s="3" t="str">
        <f>IFERROR(VLOOKUP('Open 1'!F54,$AD$3:$AE$7,2,TRUE),"")</f>
        <v>3D</v>
      </c>
      <c r="X54" s="8" t="str">
        <f>IFERROR(IF(W54=$X$1,'Open 1'!F54,""),"")</f>
        <v/>
      </c>
      <c r="Y54" s="8" t="str">
        <f>IFERROR(IF(W54=$Y$1,'Open 1'!F54,""),"")</f>
        <v/>
      </c>
      <c r="Z54" s="8">
        <f>IFERROR(IF(W54=$Z$1,'Open 1'!F54,""),"")</f>
        <v>15.449000053000001</v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Lily Kenny</v>
      </c>
      <c r="C56" s="23" t="str">
        <f>IFERROR(Draw!C56,"")</f>
        <v>Lanes Golden Money</v>
      </c>
      <c r="D56" s="61">
        <v>14.355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14.355000055</v>
      </c>
      <c r="G56" s="107">
        <f t="shared" si="0"/>
        <v>14.355000055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Lily KennyLanes Golden Money</v>
      </c>
      <c r="U56" s="109">
        <f t="shared" si="2"/>
        <v>14.355</v>
      </c>
      <c r="W56" s="3" t="str">
        <f>IFERROR(VLOOKUP('Open 1'!F56,$AD$3:$AE$7,2,TRUE),"")</f>
        <v>1D</v>
      </c>
      <c r="X56" s="8">
        <f>IFERROR(IF(W56=$X$1,'Open 1'!F56,""),"")</f>
        <v>14.355000055</v>
      </c>
      <c r="Y56" s="8" t="str">
        <f>IFERROR(IF(W56=$Y$1,'Open 1'!F56,""),"")</f>
        <v/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Rachel Kelderman</v>
      </c>
      <c r="C57" s="23" t="str">
        <f>IFERROR(Draw!C57,"")</f>
        <v>Leo</v>
      </c>
      <c r="D57" s="60">
        <v>14.968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14.968000055999999</v>
      </c>
      <c r="G57" s="107">
        <f t="shared" si="0"/>
        <v>14.968000055999999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Rachel KeldermanLeo</v>
      </c>
      <c r="U57" s="109">
        <f t="shared" si="2"/>
        <v>14.968</v>
      </c>
      <c r="W57" s="3" t="str">
        <f>IFERROR(VLOOKUP('Open 1'!F57,$AD$3:$AE$7,2,TRUE),"")</f>
        <v>2D</v>
      </c>
      <c r="X57" s="8" t="str">
        <f>IFERROR(IF(W57=$X$1,'Open 1'!F57,""),"")</f>
        <v/>
      </c>
      <c r="Y57" s="8">
        <f>IFERROR(IF(W57=$Y$1,'Open 1'!F57,""),"")</f>
        <v>14.968000055999999</v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Megan Rosendahl</v>
      </c>
      <c r="C58" s="23" t="str">
        <f>IFERROR(Draw!C58,"")</f>
        <v>A Dash of Jerzy Cash</v>
      </c>
      <c r="D58" s="59">
        <v>15.192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15.192000057</v>
      </c>
      <c r="G58" s="107">
        <f t="shared" si="0"/>
        <v>15.192000057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Megan RosendahlA Dash of Jerzy Cash</v>
      </c>
      <c r="U58" s="109">
        <f t="shared" si="2"/>
        <v>15.192</v>
      </c>
      <c r="W58" s="3" t="str">
        <f>IFERROR(VLOOKUP('Open 1'!F58,$AD$3:$AE$7,2,TRUE),"")</f>
        <v>3D</v>
      </c>
      <c r="X58" s="8" t="str">
        <f>IFERROR(IF(W58=$X$1,'Open 1'!F58,""),"")</f>
        <v/>
      </c>
      <c r="Y58" s="8" t="str">
        <f>IFERROR(IF(W58=$Y$1,'Open 1'!F58,""),"")</f>
        <v/>
      </c>
      <c r="Z58" s="8">
        <f>IFERROR(IF(W58=$Z$1,'Open 1'!F58,""),"")</f>
        <v>15.192000057</v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Brittany Dieters</v>
      </c>
      <c r="C59" s="23" t="str">
        <f>IFERROR(Draw!C59,"")</f>
        <v>Carl's Bad Cat (Maui)</v>
      </c>
      <c r="D59" s="60">
        <v>15.241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15.241000057999999</v>
      </c>
      <c r="G59" s="107">
        <f t="shared" si="0"/>
        <v>15.241000057999999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Brittany DietersCarl's Bad Cat (Maui)</v>
      </c>
      <c r="U59" s="109">
        <f t="shared" si="2"/>
        <v>15.241</v>
      </c>
      <c r="W59" s="3" t="str">
        <f>IFERROR(VLOOKUP('Open 1'!F59,$AD$3:$AE$7,2,TRUE),"")</f>
        <v>3D</v>
      </c>
      <c r="X59" s="8" t="str">
        <f>IFERROR(IF(W59=$X$1,'Open 1'!F59,""),"")</f>
        <v/>
      </c>
      <c r="Y59" s="8" t="str">
        <f>IFERROR(IF(W59=$Y$1,'Open 1'!F59,""),"")</f>
        <v/>
      </c>
      <c r="Z59" s="8">
        <f>IFERROR(IF(W59=$Z$1,'Open 1'!F59,""),"")</f>
        <v>15.241000057999999</v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Eva Schafer</v>
      </c>
      <c r="C60" s="23" t="str">
        <f>IFERROR(Draw!C60,"")</f>
        <v>Zipper</v>
      </c>
      <c r="D60" s="62">
        <v>916.95899999999995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4000.0000000589998</v>
      </c>
      <c r="G60" s="107" t="str">
        <f t="shared" si="0"/>
        <v/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Eva SchaferZipper</v>
      </c>
      <c r="U60" s="109">
        <f t="shared" si="2"/>
        <v>916.95899999999995</v>
      </c>
      <c r="W60" s="3" t="str">
        <f>IFERROR(VLOOKUP('Open 1'!F60,$AD$3:$AE$7,2,TRUE),"")</f>
        <v>4D</v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>
        <f>IFERROR(IF($W60=$AA$1,'Open 1'!F60,""),"")</f>
        <v>4000.0000000589998</v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Mike Boomgarden</v>
      </c>
      <c r="C62" s="23" t="str">
        <f>IFERROR(Draw!C62,"")</f>
        <v>Peanut</v>
      </c>
      <c r="D62" s="59">
        <v>14.396000000000001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14.396000061000001</v>
      </c>
      <c r="G62" s="107">
        <f t="shared" si="0"/>
        <v>14.396000061000001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Mike BoomgardenPeanut</v>
      </c>
      <c r="U62" s="109">
        <f t="shared" si="2"/>
        <v>14.396000000000001</v>
      </c>
      <c r="W62" s="3" t="str">
        <f>IFERROR(VLOOKUP('Open 1'!F62,$AD$3:$AE$7,2,TRUE),"")</f>
        <v>1D</v>
      </c>
      <c r="X62" s="8">
        <f>IFERROR(IF(W62=$X$1,'Open 1'!F62,""),"")</f>
        <v>14.396000061000001</v>
      </c>
      <c r="Y62" s="8" t="str">
        <f>IFERROR(IF(W62=$Y$1,'Open 1'!F62,""),"")</f>
        <v/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Joslyn Deknikker</v>
      </c>
      <c r="C63" s="23" t="str">
        <f>IFERROR(Draw!C63,"")</f>
        <v>Chexies Smoke</v>
      </c>
      <c r="D63" s="60">
        <v>14.696999999999999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14.697000061999999</v>
      </c>
      <c r="G63" s="107">
        <f t="shared" si="0"/>
        <v>14.697000061999999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Joslyn DeknikkerChexies Smoke</v>
      </c>
      <c r="U63" s="109">
        <f t="shared" si="2"/>
        <v>14.696999999999999</v>
      </c>
      <c r="W63" s="3" t="str">
        <f>IFERROR(VLOOKUP('Open 1'!F63,$AD$3:$AE$7,2,TRUE),"")</f>
        <v>2D</v>
      </c>
      <c r="X63" s="8" t="str">
        <f>IFERROR(IF(W63=$X$1,'Open 1'!F63,""),"")</f>
        <v/>
      </c>
      <c r="Y63" s="8">
        <f>IFERROR(IF(W63=$Y$1,'Open 1'!F63,""),"")</f>
        <v>14.697000061999999</v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Olivia Selleck</v>
      </c>
      <c r="C64" s="23" t="str">
        <f>IFERROR(Draw!C64,"")</f>
        <v>TresTimesTheDynamite</v>
      </c>
      <c r="D64" s="60">
        <v>16.015999999999998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16.016000063</v>
      </c>
      <c r="G64" s="107">
        <f t="shared" si="0"/>
        <v>16.016000063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Olivia SelleckTresTimesTheDynamite</v>
      </c>
      <c r="U64" s="109">
        <f t="shared" si="2"/>
        <v>16.015999999999998</v>
      </c>
      <c r="W64" s="3" t="str">
        <f>IFERROR(VLOOKUP('Open 1'!F64,$AD$3:$AE$7,2,TRUE),"")</f>
        <v>4D</v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>
        <f>IFERROR(IF($W64=$AA$1,'Open 1'!F64,""),"")</f>
        <v>16.016000063</v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Quinn Gillen</v>
      </c>
      <c r="C65" s="23" t="str">
        <f>IFERROR(Draw!C65,"")</f>
        <v>Blue</v>
      </c>
      <c r="D65" s="60" t="s">
        <v>71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4000.0000000639998</v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Quinn GillenBlue</v>
      </c>
      <c r="U65" s="109" t="str">
        <f t="shared" si="2"/>
        <v>scratch</v>
      </c>
      <c r="W65" s="3" t="str">
        <f>IFERROR(VLOOKUP('Open 1'!F65,$AD$3:$AE$7,2,TRUE),"")</f>
        <v>4D</v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>
        <f>IFERROR(IF($W65=$AA$1,'Open 1'!F65,""),"")</f>
        <v>4000.0000000639998</v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Kristi Cleland</v>
      </c>
      <c r="C66" s="23" t="str">
        <f>IFERROR(Draw!C66,"")</f>
        <v>Fergie</v>
      </c>
      <c r="D66" s="61">
        <v>14.483000000000001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14.483000065000001</v>
      </c>
      <c r="G66" s="107">
        <f t="shared" si="0"/>
        <v>14.483000065000001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Kristi ClelandFergie</v>
      </c>
      <c r="U66" s="109">
        <f t="shared" si="2"/>
        <v>14.483000000000001</v>
      </c>
      <c r="W66" s="3" t="str">
        <f>IFERROR(VLOOKUP('Open 1'!F66,$AD$3:$AE$7,2,TRUE),"")</f>
        <v>1D</v>
      </c>
      <c r="X66" s="8">
        <f>IFERROR(IF(W66=$X$1,'Open 1'!F66,""),"")</f>
        <v>14.483000065000001</v>
      </c>
      <c r="Y66" s="8" t="str">
        <f>IFERROR(IF(W66=$Y$1,'Open 1'!F66,""),"")</f>
        <v/>
      </c>
      <c r="Z66" s="8" t="str">
        <f>IFERROR(IF(W66=$Z$1,'Open 1'!F66,""),"")</f>
        <v/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Erica Traut</v>
      </c>
      <c r="C68" s="23" t="str">
        <f>IFERROR(Draw!C68,"")</f>
        <v>RDC Eym French Nrare</v>
      </c>
      <c r="D68" s="59">
        <v>15.032999999999999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15.033000067</v>
      </c>
      <c r="G68" s="107">
        <f t="shared" si="16"/>
        <v>15.033000067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Erica TrautRDC Eym French Nrare</v>
      </c>
      <c r="U68" s="109">
        <f t="shared" si="18"/>
        <v>15.032999999999999</v>
      </c>
      <c r="W68" s="3" t="str">
        <f>IFERROR(VLOOKUP('Open 1'!F68,$AD$3:$AE$7,2,TRUE),"")</f>
        <v>3D</v>
      </c>
      <c r="X68" s="8" t="str">
        <f>IFERROR(IF(W68=$X$1,'Open 1'!F68,""),"")</f>
        <v/>
      </c>
      <c r="Y68" s="8" t="str">
        <f>IFERROR(IF(W68=$Y$1,'Open 1'!F68,""),"")</f>
        <v/>
      </c>
      <c r="Z68" s="8">
        <f>IFERROR(IF(W68=$Z$1,'Open 1'!F68,""),"")</f>
        <v>15.033000067</v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Karen Clausen</v>
      </c>
      <c r="C69" s="23" t="str">
        <f>IFERROR(Draw!C69,"")</f>
        <v>SRR Cougar Cat</v>
      </c>
      <c r="D69" s="60">
        <v>14.95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14.950000068</v>
      </c>
      <c r="G69" s="107">
        <f t="shared" si="16"/>
        <v>14.950000068</v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Karen ClausenSRR Cougar Cat</v>
      </c>
      <c r="U69" s="109">
        <f t="shared" si="18"/>
        <v>14.95</v>
      </c>
      <c r="W69" s="3" t="str">
        <f>IFERROR(VLOOKUP('Open 1'!F69,$AD$3:$AE$7,2,TRUE),"")</f>
        <v>2D</v>
      </c>
      <c r="X69" s="8" t="str">
        <f>IFERROR(IF(W69=$X$1,'Open 1'!F69,""),"")</f>
        <v/>
      </c>
      <c r="Y69" s="8">
        <f>IFERROR(IF(W69=$Y$1,'Open 1'!F69,""),"")</f>
        <v>14.950000068</v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Penny Schlagel</v>
      </c>
      <c r="C70" s="23" t="str">
        <f>IFERROR(Draw!C70,"")</f>
        <v>BI Serendipity</v>
      </c>
      <c r="D70" s="60">
        <v>14.952999999999999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14.953000069</v>
      </c>
      <c r="G70" s="107">
        <f t="shared" si="16"/>
        <v>14.953000069</v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>Penny SchlagelBI Serendipity</v>
      </c>
      <c r="U70" s="109">
        <f t="shared" si="18"/>
        <v>14.952999999999999</v>
      </c>
      <c r="W70" s="3" t="str">
        <f>IFERROR(VLOOKUP('Open 1'!F70,$AD$3:$AE$7,2,TRUE),"")</f>
        <v>2D</v>
      </c>
      <c r="X70" s="8" t="str">
        <f>IFERROR(IF(W70=$X$1,'Open 1'!F70,""),"")</f>
        <v/>
      </c>
      <c r="Y70" s="8">
        <f>IFERROR(IF(W70=$Y$1,'Open 1'!F70,""),"")</f>
        <v>14.953000069</v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>
        <f>IF(B71="","",Draw!A71)</f>
        <v>59</v>
      </c>
      <c r="B71" s="23" t="str">
        <f>IFERROR(Draw!B71,"")</f>
        <v>Josey Fey</v>
      </c>
      <c r="C71" s="23" t="str">
        <f>IFERROR(Draw!C71,"")</f>
        <v>Gunning for Fame</v>
      </c>
      <c r="D71" s="60">
        <v>914.44719999999995</v>
      </c>
      <c r="E71" s="106">
        <v>7.0000000000000005E-8</v>
      </c>
      <c r="F71" s="107">
        <f>IF(INDEX('Enter Draw'!$B$3:$B$252,MATCH(CONCATENATE('Open 1'!B71,'Open 1'!C71),'Enter Draw'!$Z$3:$Z$252,0),1)="oy",4000+E71,IF(D71="scratch",3000+E71,IF(D71="nt",1000+E71,IF((D71+E71)&gt;5,D71+E71,""))))</f>
        <v>914.44720007000001</v>
      </c>
      <c r="G71" s="107">
        <f t="shared" si="16"/>
        <v>914.44720007000001</v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>Josey FeyGunning for Fame</v>
      </c>
      <c r="U71" s="109">
        <f t="shared" si="18"/>
        <v>914.44719999999995</v>
      </c>
      <c r="W71" s="3" t="str">
        <f>IFERROR(VLOOKUP('Open 1'!F71,$AD$3:$AE$7,2,TRUE),"")</f>
        <v>4D</v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>
        <f>IFERROR(IF($W71=$AA$1,'Open 1'!F71,""),"")</f>
        <v>914.44720007000001</v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>
        <f>IF(B72="","",Draw!A72)</f>
        <v>60</v>
      </c>
      <c r="B72" s="23" t="str">
        <f>IFERROR(Draw!B72,"")</f>
        <v>Hatty Fey</v>
      </c>
      <c r="C72" s="23" t="str">
        <f>IFERROR(Draw!C72,"")</f>
        <v>Sage</v>
      </c>
      <c r="D72" s="62">
        <v>915.94399999999996</v>
      </c>
      <c r="E72" s="106">
        <v>7.1E-8</v>
      </c>
      <c r="F72" s="107">
        <f>IF(INDEX('Enter Draw'!$B$3:$B$252,MATCH(CONCATENATE('Open 1'!B72,'Open 1'!C72),'Enter Draw'!$Z$3:$Z$252,0),1)="oy",4000+E72,IF(D72="scratch",3000+E72,IF(D72="nt",1000+E72,IF((D72+E72)&gt;5,D72+E72,""))))</f>
        <v>4000.0000000710002</v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>Hatty FeySage</v>
      </c>
      <c r="U72" s="109">
        <f t="shared" si="18"/>
        <v>915.94399999999996</v>
      </c>
      <c r="W72" s="3" t="str">
        <f>IFERROR(VLOOKUP('Open 1'!F72,$AD$3:$AE$7,2,TRUE),"")</f>
        <v>4D</v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>
        <f>IFERROR(IF($W72=$AA$1,'Open 1'!F72,""),"")</f>
        <v>4000.0000000710002</v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>
        <f>IF(B74="","",Draw!A74)</f>
        <v>61</v>
      </c>
      <c r="B74" s="23" t="str">
        <f>IFERROR(Draw!B74,"")</f>
        <v>Jamie Zuidema</v>
      </c>
      <c r="C74" s="23" t="str">
        <f>IFERROR(Draw!C74,"")</f>
        <v xml:space="preserve">Lucy </v>
      </c>
      <c r="D74" s="59">
        <v>14.59</v>
      </c>
      <c r="E74" s="106">
        <v>7.3000000000000005E-8</v>
      </c>
      <c r="F74" s="107">
        <f>IF(INDEX('Enter Draw'!$B$3:$B$252,MATCH(CONCATENATE('Open 1'!B74,'Open 1'!C74),'Enter Draw'!$Z$3:$Z$252,0),1)="oy",4000+E74,IF(D74="scratch",3000+E74,IF(D74="nt",1000+E74,IF((D74+E74)&gt;5,D74+E74,""))))</f>
        <v>14.590000073000001</v>
      </c>
      <c r="G74" s="107">
        <f t="shared" si="16"/>
        <v>14.590000073000001</v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 xml:space="preserve">Jamie ZuidemaLucy </v>
      </c>
      <c r="U74" s="109">
        <f t="shared" si="18"/>
        <v>14.59</v>
      </c>
      <c r="W74" s="3" t="str">
        <f>IFERROR(VLOOKUP('Open 1'!F74,$AD$3:$AE$7,2,TRUE),"")</f>
        <v>2D</v>
      </c>
      <c r="X74" s="8" t="str">
        <f>IFERROR(IF(W74=$X$1,'Open 1'!F74,""),"")</f>
        <v/>
      </c>
      <c r="Y74" s="8">
        <f>IFERROR(IF(W74=$Y$1,'Open 1'!F74,""),"")</f>
        <v>14.590000073000001</v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>
        <f>IF(B75="","",Draw!A75)</f>
        <v>62</v>
      </c>
      <c r="B75" s="23" t="str">
        <f>IFERROR(Draw!B75,"")</f>
        <v>Natalie Hieronimus</v>
      </c>
      <c r="C75" s="23" t="str">
        <f>IFERROR(Draw!C75,"")</f>
        <v>Charlie</v>
      </c>
      <c r="D75" s="60">
        <v>14.516999999999999</v>
      </c>
      <c r="E75" s="106">
        <v>7.4000000000000001E-8</v>
      </c>
      <c r="F75" s="107">
        <f>IF(INDEX('Enter Draw'!$B$3:$B$252,MATCH(CONCATENATE('Open 1'!B75,'Open 1'!C75),'Enter Draw'!$Z$3:$Z$252,0),1)="oy",4000+E75,IF(D75="scratch",3000+E75,IF(D75="nt",1000+E75,IF((D75+E75)&gt;5,D75+E75,""))))</f>
        <v>14.517000074</v>
      </c>
      <c r="G75" s="107">
        <f t="shared" si="16"/>
        <v>14.517000074</v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>Natalie HieronimusCharlie</v>
      </c>
      <c r="U75" s="109">
        <f t="shared" si="18"/>
        <v>14.516999999999999</v>
      </c>
      <c r="W75" s="3" t="str">
        <f>IFERROR(VLOOKUP('Open 1'!F75,$AD$3:$AE$7,2,TRUE),"")</f>
        <v>2D</v>
      </c>
      <c r="X75" s="8" t="str">
        <f>IFERROR(IF(W75=$X$1,'Open 1'!F75,""),"")</f>
        <v/>
      </c>
      <c r="Y75" s="8">
        <f>IFERROR(IF(W75=$Y$1,'Open 1'!F75,""),"")</f>
        <v>14.517000074</v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>
        <f>IF(B76="","",Draw!A76)</f>
        <v>63</v>
      </c>
      <c r="B76" s="23" t="str">
        <f>IFERROR(Draw!B76,"")</f>
        <v>Kara Martin</v>
      </c>
      <c r="C76" s="23" t="str">
        <f>IFERROR(Draw!C76,"")</f>
        <v>Reno</v>
      </c>
      <c r="D76" s="60">
        <v>14.343999999999999</v>
      </c>
      <c r="E76" s="106">
        <v>7.4999999999999997E-8</v>
      </c>
      <c r="F76" s="107">
        <f>IF(INDEX('Enter Draw'!$B$3:$B$252,MATCH(CONCATENATE('Open 1'!B76,'Open 1'!C76),'Enter Draw'!$Z$3:$Z$252,0),1)="oy",4000+E76,IF(D76="scratch",3000+E76,IF(D76="nt",1000+E76,IF((D76+E76)&gt;5,D76+E76,""))))</f>
        <v>14.344000075</v>
      </c>
      <c r="G76" s="107">
        <f t="shared" si="16"/>
        <v>14.344000075</v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>Kara MartinReno</v>
      </c>
      <c r="U76" s="109">
        <f t="shared" si="18"/>
        <v>14.343999999999999</v>
      </c>
      <c r="W76" s="3" t="str">
        <f>IFERROR(VLOOKUP('Open 1'!F76,$AD$3:$AE$7,2,TRUE),"")</f>
        <v>1D</v>
      </c>
      <c r="X76" s="8">
        <f>IFERROR(IF(W76=$X$1,'Open 1'!F76,""),"")</f>
        <v>14.344000075</v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>
        <f>IF(B77="","",Draw!A77)</f>
        <v>64</v>
      </c>
      <c r="B77" s="23" t="str">
        <f>IFERROR(Draw!B77,"")</f>
        <v>Elaine Hagen</v>
      </c>
      <c r="C77" s="23" t="str">
        <f>IFERROR(Draw!C77,"")</f>
        <v>Sawyers Jo Glo</v>
      </c>
      <c r="D77" s="60">
        <v>15.726000000000001</v>
      </c>
      <c r="E77" s="106">
        <v>7.6000000000000006E-8</v>
      </c>
      <c r="F77" s="107">
        <f>IF(INDEX('Enter Draw'!$B$3:$B$252,MATCH(CONCATENATE('Open 1'!B77,'Open 1'!C77),'Enter Draw'!$Z$3:$Z$252,0),1)="oy",4000+E77,IF(D77="scratch",3000+E77,IF(D77="nt",1000+E77,IF((D77+E77)&gt;5,D77+E77,""))))</f>
        <v>15.726000076</v>
      </c>
      <c r="G77" s="107">
        <f t="shared" si="16"/>
        <v>15.726000076</v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>Elaine HagenSawyers Jo Glo</v>
      </c>
      <c r="U77" s="109">
        <f t="shared" si="18"/>
        <v>15.726000000000001</v>
      </c>
      <c r="W77" s="3" t="str">
        <f>IFERROR(VLOOKUP('Open 1'!F77,$AD$3:$AE$7,2,TRUE),"")</f>
        <v>3D</v>
      </c>
      <c r="X77" s="8" t="str">
        <f>IFERROR(IF(W77=$X$1,'Open 1'!F77,""),"")</f>
        <v/>
      </c>
      <c r="Y77" s="8" t="str">
        <f>IFERROR(IF(W77=$Y$1,'Open 1'!F77,""),"")</f>
        <v/>
      </c>
      <c r="Z77" s="8">
        <f>IFERROR(IF(W77=$Z$1,'Open 1'!F77,""),"")</f>
        <v>15.726000076</v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>
        <f>IF(B78="","",Draw!A78)</f>
        <v>65</v>
      </c>
      <c r="B78" s="23" t="str">
        <f>IFERROR(Draw!B78,"")</f>
        <v>Sara Jo Lamb</v>
      </c>
      <c r="C78" s="23" t="str">
        <f>IFERROR(Draw!C78,"")</f>
        <v>Takin on a Goldmine</v>
      </c>
      <c r="D78" s="62">
        <v>913.92399999999998</v>
      </c>
      <c r="E78" s="106">
        <v>7.7000000000000001E-8</v>
      </c>
      <c r="F78" s="107">
        <f>IF(INDEX('Enter Draw'!$B$3:$B$252,MATCH(CONCATENATE('Open 1'!B78,'Open 1'!C78),'Enter Draw'!$Z$3:$Z$252,0),1)="oy",4000+E78,IF(D78="scratch",3000+E78,IF(D78="nt",1000+E78,IF((D78+E78)&gt;5,D78+E78,""))))</f>
        <v>913.92400007699996</v>
      </c>
      <c r="G78" s="107">
        <f t="shared" si="16"/>
        <v>913.92400007699996</v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>Sara Jo LambTakin on a Goldmine</v>
      </c>
      <c r="U78" s="109">
        <f t="shared" si="18"/>
        <v>913.92399999999998</v>
      </c>
      <c r="W78" s="3" t="str">
        <f>IFERROR(VLOOKUP('Open 1'!F78,$AD$3:$AE$7,2,TRUE),"")</f>
        <v>4D</v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>
        <f>IFERROR(IF($W78=$AA$1,'Open 1'!F78,""),"")</f>
        <v>913.92400007699996</v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>
        <f>IF(B80="","",Draw!A80)</f>
        <v>66</v>
      </c>
      <c r="B80" s="23" t="str">
        <f>IFERROR(Draw!B80,"")</f>
        <v>Makayla Cross</v>
      </c>
      <c r="C80" s="23" t="str">
        <f>IFERROR(Draw!C80,"")</f>
        <v>Kix</v>
      </c>
      <c r="D80" s="168">
        <v>14.474</v>
      </c>
      <c r="E80" s="106">
        <v>7.9000000000000006E-8</v>
      </c>
      <c r="F80" s="107">
        <f>IF(INDEX('Enter Draw'!$B$3:$B$252,MATCH(CONCATENATE('Open 1'!B80,'Open 1'!C80),'Enter Draw'!$Z$3:$Z$252,0),1)="oy",4000+E80,IF(D80="scratch",3000+E80,IF(D80="nt",1000+E80,IF((D80+E80)&gt;5,D80+E80,""))))</f>
        <v>14.474000079</v>
      </c>
      <c r="G80" s="107">
        <f t="shared" si="16"/>
        <v>14.474000079</v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>Makayla CrossKix</v>
      </c>
      <c r="U80" s="109">
        <f t="shared" si="18"/>
        <v>14.474</v>
      </c>
      <c r="W80" s="3" t="str">
        <f>IFERROR(VLOOKUP('Open 1'!F80,$AD$3:$AE$7,2,TRUE),"")</f>
        <v>1D</v>
      </c>
      <c r="X80" s="8">
        <f>IFERROR(IF(W80=$X$1,'Open 1'!F80,""),"")</f>
        <v>14.474000079</v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>
        <f>IF(B81="","",Draw!A81)</f>
        <v>67</v>
      </c>
      <c r="B81" s="23" t="str">
        <f>IFERROR(Draw!B81,"")</f>
        <v>Shana Lensing</v>
      </c>
      <c r="C81" s="23" t="str">
        <f>IFERROR(Draw!C81,"")</f>
        <v>Ultimate Dream Maker</v>
      </c>
      <c r="D81" s="60">
        <v>14.507</v>
      </c>
      <c r="E81" s="106">
        <v>8.0000000000000002E-8</v>
      </c>
      <c r="F81" s="107">
        <f>IF(INDEX('Enter Draw'!$B$3:$B$252,MATCH(CONCATENATE('Open 1'!B81,'Open 1'!C81),'Enter Draw'!$Z$3:$Z$252,0),1)="oy",4000+E81,IF(D81="scratch",3000+E81,IF(D81="nt",1000+E81,IF((D81+E81)&gt;5,D81+E81,""))))</f>
        <v>4000.0000000800001</v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>Shana LensingUltimate Dream Maker</v>
      </c>
      <c r="U81" s="109">
        <f t="shared" si="18"/>
        <v>14.507</v>
      </c>
      <c r="W81" s="3" t="str">
        <f>IFERROR(VLOOKUP('Open 1'!F81,$AD$3:$AE$7,2,TRUE),"")</f>
        <v>4D</v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>
        <f>IFERROR(IF($W81=$AA$1,'Open 1'!F81,""),"")</f>
        <v>4000.0000000800001</v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>
        <f>IF(B82="","",Draw!A82)</f>
        <v>68</v>
      </c>
      <c r="B82" s="23" t="str">
        <f>IFERROR(Draw!B82,"")</f>
        <v>Kristine DeBerg</v>
      </c>
      <c r="C82" s="23" t="str">
        <f>IFERROR(Draw!C82,"")</f>
        <v>Chicks Share of Fame</v>
      </c>
      <c r="D82" s="60">
        <v>915.06799999999998</v>
      </c>
      <c r="E82" s="106">
        <v>8.0999999999999997E-8</v>
      </c>
      <c r="F82" s="107">
        <f>IF(INDEX('Enter Draw'!$B$3:$B$252,MATCH(CONCATENATE('Open 1'!B82,'Open 1'!C82),'Enter Draw'!$Z$3:$Z$252,0),1)="oy",4000+E82,IF(D82="scratch",3000+E82,IF(D82="nt",1000+E82,IF((D82+E82)&gt;5,D82+E82,""))))</f>
        <v>915.06800008100004</v>
      </c>
      <c r="G82" s="107">
        <f t="shared" si="16"/>
        <v>915.06800008100004</v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>Kristine DeBergChicks Share of Fame</v>
      </c>
      <c r="U82" s="109">
        <f t="shared" si="18"/>
        <v>915.06799999999998</v>
      </c>
      <c r="W82" s="3" t="str">
        <f>IFERROR(VLOOKUP('Open 1'!F82,$AD$3:$AE$7,2,TRUE),"")</f>
        <v>4D</v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>
        <f>IFERROR(IF($W82=$AA$1,'Open 1'!F82,""),"")</f>
        <v>915.06800008100004</v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>
        <f>IF(B83="","",Draw!A83)</f>
        <v>69</v>
      </c>
      <c r="B83" s="23" t="str">
        <f>IFERROR(Draw!B83,"")</f>
        <v>Nicole VanWell</v>
      </c>
      <c r="C83" s="23" t="str">
        <f>IFERROR(Draw!C83,"")</f>
        <v>Flirty Ways</v>
      </c>
      <c r="D83" s="60">
        <v>14.555</v>
      </c>
      <c r="E83" s="106">
        <v>8.2000000000000006E-8</v>
      </c>
      <c r="F83" s="107">
        <f>IF(INDEX('Enter Draw'!$B$3:$B$252,MATCH(CONCATENATE('Open 1'!B83,'Open 1'!C83),'Enter Draw'!$Z$3:$Z$252,0),1)="oy",4000+E83,IF(D83="scratch",3000+E83,IF(D83="nt",1000+E83,IF((D83+E83)&gt;5,D83+E83,""))))</f>
        <v>14.555000081999999</v>
      </c>
      <c r="G83" s="107">
        <f t="shared" si="16"/>
        <v>14.555000081999999</v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>Nicole VanWellFlirty Ways</v>
      </c>
      <c r="U83" s="109">
        <f t="shared" si="18"/>
        <v>14.555</v>
      </c>
      <c r="W83" s="3" t="str">
        <f>IFERROR(VLOOKUP('Open 1'!F83,$AD$3:$AE$7,2,TRUE),"")</f>
        <v>2D</v>
      </c>
      <c r="X83" s="8" t="str">
        <f>IFERROR(IF(W83=$X$1,'Open 1'!F83,""),"")</f>
        <v/>
      </c>
      <c r="Y83" s="8">
        <f>IFERROR(IF(W83=$Y$1,'Open 1'!F83,""),"")</f>
        <v>14.555000081999999</v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>
        <f>IF(B84="","",Draw!A84)</f>
        <v>70</v>
      </c>
      <c r="B84" s="23" t="str">
        <f>IFERROR(Draw!B84,"")</f>
        <v>Carrie Dieters</v>
      </c>
      <c r="C84" s="23" t="str">
        <f>IFERROR(Draw!C84,"")</f>
        <v>A Guy With Fame</v>
      </c>
      <c r="D84" s="62">
        <v>16.106999999999999</v>
      </c>
      <c r="E84" s="106">
        <v>8.3000000000000002E-8</v>
      </c>
      <c r="F84" s="107">
        <f>IF(INDEX('Enter Draw'!$B$3:$B$252,MATCH(CONCATENATE('Open 1'!B84,'Open 1'!C84),'Enter Draw'!$Z$3:$Z$252,0),1)="oy",4000+E84,IF(D84="scratch",3000+E84,IF(D84="nt",1000+E84,IF((D84+E84)&gt;5,D84+E84,""))))</f>
        <v>16.107000082999999</v>
      </c>
      <c r="G84" s="107">
        <f t="shared" si="16"/>
        <v>16.107000082999999</v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>Carrie DietersA Guy With Fame</v>
      </c>
      <c r="U84" s="109">
        <f t="shared" si="18"/>
        <v>16.106999999999999</v>
      </c>
      <c r="W84" s="3" t="str">
        <f>IFERROR(VLOOKUP('Open 1'!F84,$AD$3:$AE$7,2,TRUE),"")</f>
        <v>4D</v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>
        <f>IFERROR(IF($W84=$AA$1,'Open 1'!F84,""),"")</f>
        <v>16.107000082999999</v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>
        <f>IF(B86="","",Draw!A86)</f>
        <v>71</v>
      </c>
      <c r="B86" s="23" t="str">
        <f>IFERROR(Draw!B86,"")</f>
        <v>Kara Martin</v>
      </c>
      <c r="C86" s="23" t="str">
        <f>IFERROR(Draw!C86,"")</f>
        <v>Flame</v>
      </c>
      <c r="D86" s="59">
        <v>15.936</v>
      </c>
      <c r="E86" s="106">
        <v>8.4999999999999994E-8</v>
      </c>
      <c r="F86" s="107">
        <f>IF(INDEX('Enter Draw'!$B$3:$B$252,MATCH(CONCATENATE('Open 1'!B86,'Open 1'!C86),'Enter Draw'!$Z$3:$Z$252,0),1)="oy",4000+E86,IF(D86="scratch",3000+E86,IF(D86="nt",1000+E86,IF((D86+E86)&gt;5,D86+E86,""))))</f>
        <v>15.936000085</v>
      </c>
      <c r="G86" s="107">
        <f t="shared" si="16"/>
        <v>15.936000085</v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>Kara MartinFlame</v>
      </c>
      <c r="U86" s="109">
        <f t="shared" si="18"/>
        <v>15.936</v>
      </c>
      <c r="W86" s="3" t="str">
        <f>IFERROR(VLOOKUP('Open 1'!F86,$AD$3:$AE$7,2,TRUE),"")</f>
        <v>3D</v>
      </c>
      <c r="X86" s="8" t="str">
        <f>IFERROR(IF(W86=$X$1,'Open 1'!F86,""),"")</f>
        <v/>
      </c>
      <c r="Y86" s="8" t="str">
        <f>IFERROR(IF(W86=$Y$1,'Open 1'!F86,""),"")</f>
        <v/>
      </c>
      <c r="Z86" s="8">
        <f>IFERROR(IF(W86=$Z$1,'Open 1'!F86,""),"")</f>
        <v>15.936000085</v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zoomScale="70" zoomScaleNormal="70" workbookViewId="0">
      <pane ySplit="1" topLeftCell="A29" activePane="bottomLeft" state="frozen"/>
      <selection pane="bottomLeft" activeCell="J60" sqref="J60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12</v>
      </c>
      <c r="B2" s="95" t="str">
        <f>IFERROR(IF(INDEX('Open 1'!$A:$F,MATCH('Open 1 Results'!$E2,'Open 1'!$F:$F,0),2)&gt;0,INDEX('Open 1'!$A:$F,MATCH('Open 1 Results'!$E2,'Open 1'!$F:$F,0),2),""),"")</f>
        <v>Brittany Dieters</v>
      </c>
      <c r="C2" s="95" t="str">
        <f>IFERROR(IF(INDEX('Open 1'!$A:$F,MATCH('Open 1 Results'!$E2,'Open 1'!$F:$F,0),3)&gt;0,INDEX('Open 1'!$A:$F,MATCH('Open 1 Results'!$E2,'Open 1'!$F:$F,0),3),""),"")</f>
        <v>MS Holywood (Anna)</v>
      </c>
      <c r="D2" s="96">
        <f>IFERROR(IF(AND(SMALL('Open 1'!F:F,L2)&gt;1000,SMALL('Open 1'!F:F,L2)&lt;3000),"nt",IF(SMALL('Open 1'!F:F,L2)&gt;3000,"",SMALL('Open 1'!F:F,L2))),"")</f>
        <v>14.013000013999999</v>
      </c>
      <c r="E2" s="132">
        <f>IF(D2="nt",IFERROR(SMALL('Open 1'!F:F,L2),""),IF(D2&gt;3000,"",IFERROR(SMALL('Open 1'!F:F,L2),"")))</f>
        <v>14.013000013999999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</v>
      </c>
      <c r="B3" s="95" t="str">
        <f>IFERROR(IF(INDEX('Open 1'!$A:$F,MATCH('Open 1 Results'!$E3,'Open 1'!$F:$F,0),2)&gt;0,INDEX('Open 1'!$A:$F,MATCH('Open 1 Results'!$E3,'Open 1'!$F:$F,0),2),""),"")</f>
        <v>Cami Wolles</v>
      </c>
      <c r="C3" s="95" t="str">
        <f>IFERROR(IF(INDEX('Open 1'!$A:$F,MATCH('Open 1 Results'!$E3,'Open 1'!$F:$F,0),3)&gt;0,INDEX('Open 1'!$A:$F,MATCH('Open 1 Results'!$E3,'Open 1'!$F:$F,0),3),""),"")</f>
        <v>Nellie</v>
      </c>
      <c r="D3" s="96">
        <f>IFERROR(IF(AND(SMALL('Open 1'!F:F,L3)&gt;1000,SMALL('Open 1'!F:F,L3)&lt;3000),"nt",IF(SMALL('Open 1'!F:F,L3)&gt;3000,"",SMALL('Open 1'!F:F,L3))),"")</f>
        <v>14.090000002</v>
      </c>
      <c r="E3" s="132">
        <f>IF(D3="nt",IFERROR(SMALL('Open 1'!F:F,L3),""),IF(D3&gt;3000,"",IFERROR(SMALL('Open 1'!F:F,L3),"")))</f>
        <v>14.090000002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14.013000013999999</v>
      </c>
      <c r="I3" s="68" t="s">
        <v>3</v>
      </c>
      <c r="J3" s="141">
        <v>5</v>
      </c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3</v>
      </c>
      <c r="B4" s="95" t="str">
        <f>IFERROR(IF(INDEX('Open 1'!$A:$F,MATCH('Open 1 Results'!$E4,'Open 1'!$F:$F,0),2)&gt;0,INDEX('Open 1'!$A:$F,MATCH('Open 1 Results'!$E4,'Open 1'!$F:$F,0),2),""),"")</f>
        <v>Shana Lensing</v>
      </c>
      <c r="C4" s="95" t="str">
        <f>IFERROR(IF(INDEX('Open 1'!$A:$F,MATCH('Open 1 Results'!$E4,'Open 1'!$F:$F,0),3)&gt;0,INDEX('Open 1'!$A:$F,MATCH('Open 1 Results'!$E4,'Open 1'!$F:$F,0),3),""),"")</f>
        <v>Sages Lil Peppy Doc</v>
      </c>
      <c r="D4" s="96">
        <f>IFERROR(IF(AND(SMALL('Open 1'!F:F,L4)&gt;1000,SMALL('Open 1'!F:F,L4)&lt;3000),"nt",IF(SMALL('Open 1'!F:F,L4)&gt;3000,"",SMALL('Open 1'!F:F,L4))),"")</f>
        <v>14.177000003</v>
      </c>
      <c r="E4" s="132">
        <f>IF(D4="nt",IFERROR(SMALL('Open 1'!F:F,L4),""),IF(D4&gt;3000,"",IFERROR(SMALL('Open 1'!F:F,L4),"")))</f>
        <v>14.177000003</v>
      </c>
      <c r="F4" s="97" t="str">
        <f t="shared" si="0"/>
        <v>1D</v>
      </c>
      <c r="G4" s="104" t="str">
        <f t="shared" si="1"/>
        <v/>
      </c>
      <c r="H4" s="90">
        <f>'Open 1'!Q10</f>
        <v>14.517000074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28</v>
      </c>
      <c r="B5" s="95" t="str">
        <f>IFERROR(IF(INDEX('Open 1'!$A:$F,MATCH('Open 1 Results'!$E5,'Open 1'!$F:$F,0),2)&gt;0,INDEX('Open 1'!$A:$F,MATCH('Open 1 Results'!$E5,'Open 1'!$F:$F,0),2),""),"")</f>
        <v>Makayla Cross</v>
      </c>
      <c r="C5" s="95" t="str">
        <f>IFERROR(IF(INDEX('Open 1'!$A:$F,MATCH('Open 1 Results'!$E5,'Open 1'!$F:$F,0),3)&gt;0,INDEX('Open 1'!$A:$F,MATCH('Open 1 Results'!$E5,'Open 1'!$F:$F,0),3),""),"")</f>
        <v>Aishas Burnin Love</v>
      </c>
      <c r="D5" s="96">
        <f>IFERROR(IF(AND(SMALL('Open 1'!F:F,L5)&gt;1000,SMALL('Open 1'!F:F,L5)&lt;3000),"nt",IF(SMALL('Open 1'!F:F,L5)&gt;3000,"",SMALL('Open 1'!F:F,L5))),"")</f>
        <v>14.220000033</v>
      </c>
      <c r="E5" s="132">
        <f>IF(D5="nt",IFERROR(SMALL('Open 1'!F:F,L5),""),IF(D5&gt;3000,"",IFERROR(SMALL('Open 1'!F:F,L5),"")))</f>
        <v>14.220000033</v>
      </c>
      <c r="F5" s="97" t="str">
        <f t="shared" si="0"/>
        <v>1D</v>
      </c>
      <c r="G5" s="104" t="str">
        <f t="shared" si="1"/>
        <v/>
      </c>
      <c r="H5" s="90">
        <f>'Open 1'!Q16</f>
        <v>15.033000067</v>
      </c>
      <c r="I5" s="98" t="s">
        <v>5</v>
      </c>
      <c r="J5" s="189">
        <v>4</v>
      </c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40</v>
      </c>
      <c r="B6" s="95" t="str">
        <f>IFERROR(IF(INDEX('Open 1'!$A:$F,MATCH('Open 1 Results'!$E6,'Open 1'!$F:$F,0),2)&gt;0,INDEX('Open 1'!$A:$F,MATCH('Open 1 Results'!$E6,'Open 1'!$F:$F,0),2),""),"")</f>
        <v>Jodie Greig</v>
      </c>
      <c r="C6" s="95" t="str">
        <f>IFERROR(IF(INDEX('Open 1'!$A:$F,MATCH('Open 1 Results'!$E6,'Open 1'!$F:$F,0),3)&gt;0,INDEX('Open 1'!$A:$F,MATCH('Open 1 Results'!$E6,'Open 1'!$F:$F,0),3),""),"")</f>
        <v xml:space="preserve">Streakin On Fame </v>
      </c>
      <c r="D6" s="96">
        <f>IFERROR(IF(AND(SMALL('Open 1'!F:F,L6)&gt;1000,SMALL('Open 1'!F:F,L6)&lt;3000),"nt",IF(SMALL('Open 1'!F:F,L6)&gt;3000,"",SMALL('Open 1'!F:F,L6))),"")</f>
        <v>14.253000047</v>
      </c>
      <c r="E6" s="132">
        <f>IF(D6="nt",IFERROR(SMALL('Open 1'!F:F,L6),""),IF(D6&gt;3000,"",IFERROR(SMALL('Open 1'!F:F,L6),"")))</f>
        <v>14.253000047</v>
      </c>
      <c r="F6" s="97" t="str">
        <f t="shared" si="0"/>
        <v>1D</v>
      </c>
      <c r="G6" s="104" t="str">
        <f t="shared" si="1"/>
        <v/>
      </c>
      <c r="H6" s="90">
        <f>'Open 1'!Q22</f>
        <v>16.016000063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33</v>
      </c>
      <c r="B7" s="95" t="str">
        <f>IFERROR(IF(INDEX('Open 1'!$A:$F,MATCH('Open 1 Results'!$E7,'Open 1'!$F:$F,0),2)&gt;0,INDEX('Open 1'!$A:$F,MATCH('Open 1 Results'!$E7,'Open 1'!$F:$F,0),2),""),"")</f>
        <v>Kayleigh Maras</v>
      </c>
      <c r="C7" s="95" t="str">
        <f>IFERROR(IF(INDEX('Open 1'!$A:$F,MATCH('Open 1 Results'!$E7,'Open 1'!$F:$F,0),3)&gt;0,INDEX('Open 1'!$A:$F,MATCH('Open 1 Results'!$E7,'Open 1'!$F:$F,0),3),""),"")</f>
        <v>Mayor Perks</v>
      </c>
      <c r="D7" s="96">
        <f>IFERROR(IF(AND(SMALL('Open 1'!F:F,L7)&gt;1000,SMALL('Open 1'!F:F,L7)&lt;3000),"nt",IF(SMALL('Open 1'!F:F,L7)&gt;3000,"",SMALL('Open 1'!F:F,L7))),"")</f>
        <v>14.300000039</v>
      </c>
      <c r="E7" s="132">
        <f>IF(D7="nt",IFERROR(SMALL('Open 1'!F:F,L7),""),IF(D7&gt;3000,"",IFERROR(SMALL('Open 1'!F:F,L7),"")))</f>
        <v>14.300000039</v>
      </c>
      <c r="F7" s="97" t="str">
        <f t="shared" si="0"/>
        <v>1D</v>
      </c>
      <c r="G7" s="104" t="str">
        <f t="shared" si="1"/>
        <v/>
      </c>
      <c r="H7" s="68" t="str">
        <f>'Open 1'!Q28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63</v>
      </c>
      <c r="B8" s="95" t="str">
        <f>IFERROR(IF(INDEX('Open 1'!$A:$F,MATCH('Open 1 Results'!$E8,'Open 1'!$F:$F,0),2)&gt;0,INDEX('Open 1'!$A:$F,MATCH('Open 1 Results'!$E8,'Open 1'!$F:$F,0),2),""),"")</f>
        <v>Kara Martin</v>
      </c>
      <c r="C8" s="95" t="str">
        <f>IFERROR(IF(INDEX('Open 1'!$A:$F,MATCH('Open 1 Results'!$E8,'Open 1'!$F:$F,0),3)&gt;0,INDEX('Open 1'!$A:$F,MATCH('Open 1 Results'!$E8,'Open 1'!$F:$F,0),3),""),"")</f>
        <v>Reno</v>
      </c>
      <c r="D8" s="96">
        <f>IFERROR(IF(AND(SMALL('Open 1'!F:F,L8)&gt;1000,SMALL('Open 1'!F:F,L8)&lt;3000),"nt",IF(SMALL('Open 1'!F:F,L8)&gt;3000,"",SMALL('Open 1'!F:F,L8))),"")</f>
        <v>14.344000075</v>
      </c>
      <c r="E8" s="132">
        <f>IF(D8="nt",IFERROR(SMALL('Open 1'!F:F,L8),""),IF(D8&gt;3000,"",IFERROR(SMALL('Open 1'!F:F,L8),"")))</f>
        <v>14.344000075</v>
      </c>
      <c r="F8" s="97" t="str">
        <f t="shared" si="0"/>
        <v>1D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46</v>
      </c>
      <c r="B9" s="95" t="str">
        <f>IFERROR(IF(INDEX('Open 1'!$A:$F,MATCH('Open 1 Results'!$E9,'Open 1'!$F:$F,0),2)&gt;0,INDEX('Open 1'!$A:$F,MATCH('Open 1 Results'!$E9,'Open 1'!$F:$F,0),2),""),"")</f>
        <v>Lily Kenny</v>
      </c>
      <c r="C9" s="95" t="str">
        <f>IFERROR(IF(INDEX('Open 1'!$A:$F,MATCH('Open 1 Results'!$E9,'Open 1'!$F:$F,0),3)&gt;0,INDEX('Open 1'!$A:$F,MATCH('Open 1 Results'!$E9,'Open 1'!$F:$F,0),3),""),"")</f>
        <v>Lanes Golden Money</v>
      </c>
      <c r="D9" s="96">
        <f>IFERROR(IF(AND(SMALL('Open 1'!F:F,L9)&gt;1000,SMALL('Open 1'!F:F,L9)&lt;3000),"nt",IF(SMALL('Open 1'!F:F,L9)&gt;3000,"",SMALL('Open 1'!F:F,L9))),"")</f>
        <v>14.355000055</v>
      </c>
      <c r="E9" s="132">
        <f>IF(D9="nt",IFERROR(SMALL('Open 1'!F:F,L9),""),IF(D9&gt;3000,"",IFERROR(SMALL('Open 1'!F:F,L9),"")))</f>
        <v>14.355000055</v>
      </c>
      <c r="F9" s="97" t="str">
        <f t="shared" si="0"/>
        <v>1D</v>
      </c>
      <c r="G9" s="104" t="str">
        <f t="shared" si="1"/>
        <v/>
      </c>
      <c r="J9" s="188">
        <v>3</v>
      </c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51</v>
      </c>
      <c r="B10" s="95" t="str">
        <f>IFERROR(IF(INDEX('Open 1'!$A:$F,MATCH('Open 1 Results'!$E10,'Open 1'!$F:$F,0),2)&gt;0,INDEX('Open 1'!$A:$F,MATCH('Open 1 Results'!$E10,'Open 1'!$F:$F,0),2),""),"")</f>
        <v>Mike Boomgarden</v>
      </c>
      <c r="C10" s="95" t="str">
        <f>IFERROR(IF(INDEX('Open 1'!$A:$F,MATCH('Open 1 Results'!$E10,'Open 1'!$F:$F,0),3)&gt;0,INDEX('Open 1'!$A:$F,MATCH('Open 1 Results'!$E10,'Open 1'!$F:$F,0),3),""),"")</f>
        <v>Peanut</v>
      </c>
      <c r="D10" s="96">
        <f>IFERROR(IF(AND(SMALL('Open 1'!F:F,L10)&gt;1000,SMALL('Open 1'!F:F,L10)&lt;3000),"nt",IF(SMALL('Open 1'!F:F,L10)&gt;3000,"",SMALL('Open 1'!F:F,L10))),"")</f>
        <v>14.396000061000001</v>
      </c>
      <c r="E10" s="132">
        <f>IF(D10="nt",IFERROR(SMALL('Open 1'!F:F,L10),""),IF(D10&gt;3000,"",IFERROR(SMALL('Open 1'!F:F,L10),"")))</f>
        <v>14.396000061000001</v>
      </c>
      <c r="F10" s="97" t="str">
        <f t="shared" si="0"/>
        <v>1D</v>
      </c>
      <c r="G10" s="104" t="str">
        <f t="shared" si="1"/>
        <v/>
      </c>
      <c r="J10" s="188">
        <v>2</v>
      </c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66</v>
      </c>
      <c r="B11" s="95" t="str">
        <f>IFERROR(IF(INDEX('Open 1'!$A:$F,MATCH('Open 1 Results'!$E11,'Open 1'!$F:$F,0),2)&gt;0,INDEX('Open 1'!$A:$F,MATCH('Open 1 Results'!$E11,'Open 1'!$F:$F,0),2),""),"")</f>
        <v>Makayla Cross</v>
      </c>
      <c r="C11" s="95" t="str">
        <f>IFERROR(IF(INDEX('Open 1'!$A:$F,MATCH('Open 1 Results'!$E11,'Open 1'!$F:$F,0),3)&gt;0,INDEX('Open 1'!$A:$F,MATCH('Open 1 Results'!$E11,'Open 1'!$F:$F,0),3),""),"")</f>
        <v>Kix</v>
      </c>
      <c r="D11" s="96">
        <f>IFERROR(IF(AND(SMALL('Open 1'!F:F,L11)&gt;1000,SMALL('Open 1'!F:F,L11)&lt;3000),"nt",IF(SMALL('Open 1'!F:F,L11)&gt;3000,"",SMALL('Open 1'!F:F,L11))),"")</f>
        <v>14.474000079</v>
      </c>
      <c r="E11" s="132">
        <f>IF(D11="nt",IFERROR(SMALL('Open 1'!F:F,L11),""),IF(D11&gt;3000,"",IFERROR(SMALL('Open 1'!F:F,L11),"")))</f>
        <v>14.474000079</v>
      </c>
      <c r="F11" s="97" t="str">
        <f t="shared" si="0"/>
        <v>1D</v>
      </c>
      <c r="G11" s="104" t="str">
        <f t="shared" si="1"/>
        <v/>
      </c>
      <c r="J11" s="188">
        <v>1</v>
      </c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21</v>
      </c>
      <c r="B12" s="95" t="str">
        <f>IFERROR(IF(INDEX('Open 1'!$A:$F,MATCH('Open 1 Results'!$E12,'Open 1'!$F:$F,0),2)&gt;0,INDEX('Open 1'!$A:$F,MATCH('Open 1 Results'!$E12,'Open 1'!$F:$F,0),2),""),"")</f>
        <v xml:space="preserve">Pam Elshere </v>
      </c>
      <c r="C12" s="95" t="str">
        <f>IFERROR(IF(INDEX('Open 1'!$A:$F,MATCH('Open 1 Results'!$E12,'Open 1'!$F:$F,0),3)&gt;0,INDEX('Open 1'!$A:$F,MATCH('Open 1 Results'!$E12,'Open 1'!$F:$F,0),3),""),"")</f>
        <v>Secret Storm Bug</v>
      </c>
      <c r="D12" s="96">
        <f>IFERROR(IF(AND(SMALL('Open 1'!F:F,L12)&gt;1000,SMALL('Open 1'!F:F,L12)&lt;3000),"nt",IF(SMALL('Open 1'!F:F,L12)&gt;3000,"",SMALL('Open 1'!F:F,L12))),"")</f>
        <v>14.476000025000001</v>
      </c>
      <c r="E12" s="132">
        <f>IF(D12="nt",IFERROR(SMALL('Open 1'!F:F,L12),""),IF(D12&gt;3000,"",IFERROR(SMALL('Open 1'!F:F,L12),"")))</f>
        <v>14.476000025000001</v>
      </c>
      <c r="F12" s="97" t="str">
        <f t="shared" si="0"/>
        <v>1D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55</v>
      </c>
      <c r="B13" s="95" t="str">
        <f>IFERROR(IF(INDEX('Open 1'!$A:$F,MATCH('Open 1 Results'!$E13,'Open 1'!$F:$F,0),2)&gt;0,INDEX('Open 1'!$A:$F,MATCH('Open 1 Results'!$E13,'Open 1'!$F:$F,0),2),""),"")</f>
        <v>Kristi Cleland</v>
      </c>
      <c r="C13" s="95" t="str">
        <f>IFERROR(IF(INDEX('Open 1'!$A:$F,MATCH('Open 1 Results'!$E13,'Open 1'!$F:$F,0),3)&gt;0,INDEX('Open 1'!$A:$F,MATCH('Open 1 Results'!$E13,'Open 1'!$F:$F,0),3),""),"")</f>
        <v>Fergie</v>
      </c>
      <c r="D13" s="96">
        <f>IFERROR(IF(AND(SMALL('Open 1'!F:F,L13)&gt;1000,SMALL('Open 1'!F:F,L13)&lt;3000),"nt",IF(SMALL('Open 1'!F:F,L13)&gt;3000,"",SMALL('Open 1'!F:F,L13))),"")</f>
        <v>14.483000065000001</v>
      </c>
      <c r="E13" s="132">
        <f>IF(D13="nt",IFERROR(SMALL('Open 1'!F:F,L13),""),IF(D13&gt;3000,"",IFERROR(SMALL('Open 1'!F:F,L13),"")))</f>
        <v>14.483000065000001</v>
      </c>
      <c r="F13" s="97" t="str">
        <f t="shared" si="0"/>
        <v>1D</v>
      </c>
      <c r="G13" s="104" t="str">
        <f t="shared" si="1"/>
        <v/>
      </c>
      <c r="J13" s="188" t="s">
        <v>249</v>
      </c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42</v>
      </c>
      <c r="B14" s="95" t="str">
        <f>IFERROR(IF(INDEX('Open 1'!$A:$F,MATCH('Open 1 Results'!$E14,'Open 1'!$F:$F,0),2)&gt;0,INDEX('Open 1'!$A:$F,MATCH('Open 1 Results'!$E14,'Open 1'!$F:$F,0),2),""),"")</f>
        <v>Kristan Soukup</v>
      </c>
      <c r="C14" s="95" t="str">
        <f>IFERROR(IF(INDEX('Open 1'!$A:$F,MATCH('Open 1 Results'!$E14,'Open 1'!$F:$F,0),3)&gt;0,INDEX('Open 1'!$A:$F,MATCH('Open 1 Results'!$E14,'Open 1'!$F:$F,0),3),""),"")</f>
        <v>PC Sun Needs Fame</v>
      </c>
      <c r="D14" s="96">
        <f>IFERROR(IF(AND(SMALL('Open 1'!F:F,L14)&gt;1000,SMALL('Open 1'!F:F,L14)&lt;3000),"nt",IF(SMALL('Open 1'!F:F,L14)&gt;3000,"",SMALL('Open 1'!F:F,L14))),"")</f>
        <v>14.48500005</v>
      </c>
      <c r="E14" s="132">
        <f>IF(D14="nt",IFERROR(SMALL('Open 1'!F:F,L14),""),IF(D14&gt;3000,"",IFERROR(SMALL('Open 1'!F:F,L14),"")))</f>
        <v>14.48500005</v>
      </c>
      <c r="F14" s="97" t="str">
        <f t="shared" si="0"/>
        <v>1D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62</v>
      </c>
      <c r="B15" s="95" t="str">
        <f>IFERROR(IF(INDEX('Open 1'!$A:$F,MATCH('Open 1 Results'!$E15,'Open 1'!$F:$F,0),2)&gt;0,INDEX('Open 1'!$A:$F,MATCH('Open 1 Results'!$E15,'Open 1'!$F:$F,0),2),""),"")</f>
        <v>Natalie Hieronimus</v>
      </c>
      <c r="C15" s="95" t="str">
        <f>IFERROR(IF(INDEX('Open 1'!$A:$F,MATCH('Open 1 Results'!$E15,'Open 1'!$F:$F,0),3)&gt;0,INDEX('Open 1'!$A:$F,MATCH('Open 1 Results'!$E15,'Open 1'!$F:$F,0),3),""),"")</f>
        <v>Charlie</v>
      </c>
      <c r="D15" s="96">
        <f>IFERROR(IF(AND(SMALL('Open 1'!F:F,L15)&gt;1000,SMALL('Open 1'!F:F,L15)&lt;3000),"nt",IF(SMALL('Open 1'!F:F,L15)&gt;3000,"",SMALL('Open 1'!F:F,L15))),"")</f>
        <v>14.517000074</v>
      </c>
      <c r="E15" s="132">
        <f>IF(D15="nt",IFERROR(SMALL('Open 1'!F:F,L15),""),IF(D15&gt;3000,"",IFERROR(SMALL('Open 1'!F:F,L15),"")))</f>
        <v>14.517000074</v>
      </c>
      <c r="F15" s="97" t="str">
        <f t="shared" si="0"/>
        <v>2D</v>
      </c>
      <c r="G15" s="104" t="str">
        <f t="shared" si="1"/>
        <v>2D</v>
      </c>
      <c r="J15" s="188"/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29</v>
      </c>
      <c r="B16" s="95" t="str">
        <f>IFERROR(IF(INDEX('Open 1'!$A:$F,MATCH('Open 1 Results'!$E16,'Open 1'!$F:$F,0),2)&gt;0,INDEX('Open 1'!$A:$F,MATCH('Open 1 Results'!$E16,'Open 1'!$F:$F,0),2),""),"")</f>
        <v>Shana Lensing</v>
      </c>
      <c r="C16" s="95" t="str">
        <f>IFERROR(IF(INDEX('Open 1'!$A:$F,MATCH('Open 1 Results'!$E16,'Open 1'!$F:$F,0),3)&gt;0,INDEX('Open 1'!$A:$F,MATCH('Open 1 Results'!$E16,'Open 1'!$F:$F,0),3),""),"")</f>
        <v>Dinkys Leroy Cash</v>
      </c>
      <c r="D16" s="96">
        <f>IFERROR(IF(AND(SMALL('Open 1'!F:F,L16)&gt;1000,SMALL('Open 1'!F:F,L16)&lt;3000),"nt",IF(SMALL('Open 1'!F:F,L16)&gt;3000,"",SMALL('Open 1'!F:F,L16))),"")</f>
        <v>14.531000034</v>
      </c>
      <c r="E16" s="132">
        <f>IF(D16="nt",IFERROR(SMALL('Open 1'!F:F,L16),""),IF(D16&gt;3000,"",IFERROR(SMALL('Open 1'!F:F,L16),"")))</f>
        <v>14.531000034</v>
      </c>
      <c r="F16" s="97" t="str">
        <f t="shared" si="0"/>
        <v>2D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69</v>
      </c>
      <c r="B17" s="95" t="str">
        <f>IFERROR(IF(INDEX('Open 1'!$A:$F,MATCH('Open 1 Results'!$E17,'Open 1'!$F:$F,0),2)&gt;0,INDEX('Open 1'!$A:$F,MATCH('Open 1 Results'!$E17,'Open 1'!$F:$F,0),2),""),"")</f>
        <v>Nicole VanWell</v>
      </c>
      <c r="C17" s="95" t="str">
        <f>IFERROR(IF(INDEX('Open 1'!$A:$F,MATCH('Open 1 Results'!$E17,'Open 1'!$F:$F,0),3)&gt;0,INDEX('Open 1'!$A:$F,MATCH('Open 1 Results'!$E17,'Open 1'!$F:$F,0),3),""),"")</f>
        <v>Flirty Ways</v>
      </c>
      <c r="D17" s="96">
        <f>IFERROR(IF(AND(SMALL('Open 1'!F:F,L17)&gt;1000,SMALL('Open 1'!F:F,L17)&lt;3000),"nt",IF(SMALL('Open 1'!F:F,L17)&gt;3000,"",SMALL('Open 1'!F:F,L17))),"")</f>
        <v>14.555000081999999</v>
      </c>
      <c r="E17" s="132">
        <f>IF(D17="nt",IFERROR(SMALL('Open 1'!F:F,L17),""),IF(D17&gt;3000,"",IFERROR(SMALL('Open 1'!F:F,L17),"")))</f>
        <v>14.555000081999999</v>
      </c>
      <c r="F17" s="97" t="str">
        <f t="shared" si="0"/>
        <v>2D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4</v>
      </c>
      <c r="B18" s="95" t="str">
        <f>IFERROR(IF(INDEX('Open 1'!$A:$F,MATCH('Open 1 Results'!$E18,'Open 1'!$F:$F,0),2)&gt;0,INDEX('Open 1'!$A:$F,MATCH('Open 1 Results'!$E18,'Open 1'!$F:$F,0),2),""),"")</f>
        <v>Makayla Cross</v>
      </c>
      <c r="C18" s="95" t="str">
        <f>IFERROR(IF(INDEX('Open 1'!$A:$F,MATCH('Open 1 Results'!$E18,'Open 1'!$F:$F,0),3)&gt;0,INDEX('Open 1'!$A:$F,MATCH('Open 1 Results'!$E18,'Open 1'!$F:$F,0),3),""),"")</f>
        <v>Jacks Dashin Destiny</v>
      </c>
      <c r="D18" s="96">
        <f>IFERROR(IF(AND(SMALL('Open 1'!F:F,L18)&gt;1000,SMALL('Open 1'!F:F,L18)&lt;3000),"nt",IF(SMALL('Open 1'!F:F,L18)&gt;3000,"",SMALL('Open 1'!F:F,L18))),"")</f>
        <v>14.565000004</v>
      </c>
      <c r="E18" s="132">
        <f>IF(D18="nt",IFERROR(SMALL('Open 1'!F:F,L18),""),IF(D18&gt;3000,"",IFERROR(SMALL('Open 1'!F:F,L18),"")))</f>
        <v>14.565000004</v>
      </c>
      <c r="F18" s="97" t="str">
        <f t="shared" si="0"/>
        <v>2D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61</v>
      </c>
      <c r="B19" s="95" t="str">
        <f>IFERROR(IF(INDEX('Open 1'!$A:$F,MATCH('Open 1 Results'!$E19,'Open 1'!$F:$F,0),2)&gt;0,INDEX('Open 1'!$A:$F,MATCH('Open 1 Results'!$E19,'Open 1'!$F:$F,0),2),""),"")</f>
        <v>Jamie Zuidema</v>
      </c>
      <c r="C19" s="95" t="str">
        <f>IFERROR(IF(INDEX('Open 1'!$A:$F,MATCH('Open 1 Results'!$E19,'Open 1'!$F:$F,0),3)&gt;0,INDEX('Open 1'!$A:$F,MATCH('Open 1 Results'!$E19,'Open 1'!$F:$F,0),3),""),"")</f>
        <v xml:space="preserve">Lucy </v>
      </c>
      <c r="D19" s="96">
        <f>IFERROR(IF(AND(SMALL('Open 1'!F:F,L19)&gt;1000,SMALL('Open 1'!F:F,L19)&lt;3000),"nt",IF(SMALL('Open 1'!F:F,L19)&gt;3000,"",SMALL('Open 1'!F:F,L19))),"")</f>
        <v>14.590000073000001</v>
      </c>
      <c r="E19" s="132">
        <f>IF(D19="nt",IFERROR(SMALL('Open 1'!F:F,L19),""),IF(D19&gt;3000,"",IFERROR(SMALL('Open 1'!F:F,L19),"")))</f>
        <v>14.590000073000001</v>
      </c>
      <c r="F19" s="97" t="str">
        <f t="shared" si="0"/>
        <v>2D</v>
      </c>
      <c r="G19" s="104" t="str">
        <f t="shared" si="1"/>
        <v/>
      </c>
      <c r="J19" s="188"/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1</v>
      </c>
      <c r="B20" s="95" t="str">
        <f>IFERROR(IF(INDEX('Open 1'!$A:$F,MATCH('Open 1 Results'!$E20,'Open 1'!$F:$F,0),2)&gt;0,INDEX('Open 1'!$A:$F,MATCH('Open 1 Results'!$E20,'Open 1'!$F:$F,0),2),""),"")</f>
        <v>Kristine DeBerg</v>
      </c>
      <c r="C20" s="95" t="str">
        <f>IFERROR(IF(INDEX('Open 1'!$A:$F,MATCH('Open 1 Results'!$E20,'Open 1'!$F:$F,0),3)&gt;0,INDEX('Open 1'!$A:$F,MATCH('Open 1 Results'!$E20,'Open 1'!$F:$F,0),3),""),"")</f>
        <v>Jessfrostmycake</v>
      </c>
      <c r="D20" s="96">
        <f>IFERROR(IF(AND(SMALL('Open 1'!F:F,L20)&gt;1000,SMALL('Open 1'!F:F,L20)&lt;3000),"nt",IF(SMALL('Open 1'!F:F,L20)&gt;3000,"",SMALL('Open 1'!F:F,L20))),"")</f>
        <v>14.659000001000001</v>
      </c>
      <c r="E20" s="132">
        <f>IF(D20="nt",IFERROR(SMALL('Open 1'!F:F,L20),""),IF(D20&gt;3000,"",IFERROR(SMALL('Open 1'!F:F,L20),"")))</f>
        <v>14.659000001000001</v>
      </c>
      <c r="F20" s="97" t="str">
        <f t="shared" si="0"/>
        <v>2D</v>
      </c>
      <c r="G20" s="104" t="str">
        <f t="shared" si="1"/>
        <v/>
      </c>
      <c r="J20" s="188"/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52</v>
      </c>
      <c r="B21" s="95" t="str">
        <f>IFERROR(IF(INDEX('Open 1'!$A:$F,MATCH('Open 1 Results'!$E21,'Open 1'!$F:$F,0),2)&gt;0,INDEX('Open 1'!$A:$F,MATCH('Open 1 Results'!$E21,'Open 1'!$F:$F,0),2),""),"")</f>
        <v>Joslyn Deknikker</v>
      </c>
      <c r="C21" s="95" t="str">
        <f>IFERROR(IF(INDEX('Open 1'!$A:$F,MATCH('Open 1 Results'!$E21,'Open 1'!$F:$F,0),3)&gt;0,INDEX('Open 1'!$A:$F,MATCH('Open 1 Results'!$E21,'Open 1'!$F:$F,0),3),""),"")</f>
        <v>Chexies Smoke</v>
      </c>
      <c r="D21" s="96">
        <f>IFERROR(IF(AND(SMALL('Open 1'!F:F,L21)&gt;1000,SMALL('Open 1'!F:F,L21)&lt;3000),"nt",IF(SMALL('Open 1'!F:F,L21)&gt;3000,"",SMALL('Open 1'!F:F,L21))),"")</f>
        <v>14.697000061999999</v>
      </c>
      <c r="E21" s="132">
        <f>IF(D21="nt",IFERROR(SMALL('Open 1'!F:F,L21),""),IF(D21&gt;3000,"",IFERROR(SMALL('Open 1'!F:F,L21),"")))</f>
        <v>14.697000061999999</v>
      </c>
      <c r="F21" s="97" t="str">
        <f t="shared" si="0"/>
        <v>2D</v>
      </c>
      <c r="G21" s="104" t="str">
        <f t="shared" si="1"/>
        <v/>
      </c>
      <c r="J21" s="188"/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30</v>
      </c>
      <c r="B22" s="95" t="str">
        <f>IFERROR(IF(INDEX('Open 1'!$A:$F,MATCH('Open 1 Results'!$E22,'Open 1'!$F:$F,0),2)&gt;0,INDEX('Open 1'!$A:$F,MATCH('Open 1 Results'!$E22,'Open 1'!$F:$F,0),2),""),"")</f>
        <v>Kristine DeBerg</v>
      </c>
      <c r="C22" s="95" t="str">
        <f>IFERROR(IF(INDEX('Open 1'!$A:$F,MATCH('Open 1 Results'!$E22,'Open 1'!$F:$F,0),3)&gt;0,INDEX('Open 1'!$A:$F,MATCH('Open 1 Results'!$E22,'Open 1'!$F:$F,0),3),""),"")</f>
        <v>Streakinblondelegacy</v>
      </c>
      <c r="D22" s="96">
        <f>IFERROR(IF(AND(SMALL('Open 1'!F:F,L22)&gt;1000,SMALL('Open 1'!F:F,L22)&lt;3000),"nt",IF(SMALL('Open 1'!F:F,L22)&gt;3000,"",SMALL('Open 1'!F:F,L22))),"")</f>
        <v>14.762000035</v>
      </c>
      <c r="E22" s="132">
        <f>IF(D22="nt",IFERROR(SMALL('Open 1'!F:F,L22),""),IF(D22&gt;3000,"",IFERROR(SMALL('Open 1'!F:F,L22),"")))</f>
        <v>14.762000035</v>
      </c>
      <c r="F22" s="97" t="str">
        <f t="shared" si="0"/>
        <v>2D</v>
      </c>
      <c r="G22" s="104" t="str">
        <f t="shared" si="1"/>
        <v/>
      </c>
      <c r="J22" s="188"/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10</v>
      </c>
      <c r="B23" s="95" t="str">
        <f>IFERROR(IF(INDEX('Open 1'!$A:$F,MATCH('Open 1 Results'!$E23,'Open 1'!$F:$F,0),2)&gt;0,INDEX('Open 1'!$A:$F,MATCH('Open 1 Results'!$E23,'Open 1'!$F:$F,0),2),""),"")</f>
        <v>Rachel Kelderman</v>
      </c>
      <c r="C23" s="95" t="str">
        <f>IFERROR(IF(INDEX('Open 1'!$A:$F,MATCH('Open 1 Results'!$E23,'Open 1'!$F:$F,0),3)&gt;0,INDEX('Open 1'!$A:$F,MATCH('Open 1 Results'!$E23,'Open 1'!$F:$F,0),3),""),"")</f>
        <v xml:space="preserve">Lucy </v>
      </c>
      <c r="D23" s="96">
        <f>IFERROR(IF(AND(SMALL('Open 1'!F:F,L23)&gt;1000,SMALL('Open 1'!F:F,L23)&lt;3000),"nt",IF(SMALL('Open 1'!F:F,L23)&gt;3000,"",SMALL('Open 1'!F:F,L23))),"")</f>
        <v>14.887000011</v>
      </c>
      <c r="E23" s="132">
        <f>IF(D23="nt",IFERROR(SMALL('Open 1'!F:F,L23),""),IF(D23&gt;3000,"",IFERROR(SMALL('Open 1'!F:F,L23),"")))</f>
        <v>14.887000011</v>
      </c>
      <c r="F23" s="97" t="str">
        <f t="shared" si="0"/>
        <v>2D</v>
      </c>
      <c r="G23" s="104" t="str">
        <f t="shared" si="1"/>
        <v/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19</v>
      </c>
      <c r="B24" s="95" t="str">
        <f>IFERROR(IF(INDEX('Open 1'!$A:$F,MATCH('Open 1 Results'!$E24,'Open 1'!$F:$F,0),2)&gt;0,INDEX('Open 1'!$A:$F,MATCH('Open 1 Results'!$E24,'Open 1'!$F:$F,0),2),""),"")</f>
        <v>Kayla Pappendick</v>
      </c>
      <c r="C24" s="95" t="str">
        <f>IFERROR(IF(INDEX('Open 1'!$A:$F,MATCH('Open 1 Results'!$E24,'Open 1'!$F:$F,0),3)&gt;0,INDEX('Open 1'!$A:$F,MATCH('Open 1 Results'!$E24,'Open 1'!$F:$F,0),3),""),"")</f>
        <v>Buddy</v>
      </c>
      <c r="D24" s="96">
        <f>IFERROR(IF(AND(SMALL('Open 1'!F:F,L24)&gt;1000,SMALL('Open 1'!F:F,L24)&lt;3000),"nt",IF(SMALL('Open 1'!F:F,L24)&gt;3000,"",SMALL('Open 1'!F:F,L24))),"")</f>
        <v>14.904000022</v>
      </c>
      <c r="E24" s="132">
        <f>IF(D24="nt",IFERROR(SMALL('Open 1'!F:F,L24),""),IF(D24&gt;3000,"",IFERROR(SMALL('Open 1'!F:F,L24),"")))</f>
        <v>14.904000022</v>
      </c>
      <c r="F24" s="97" t="str">
        <f t="shared" si="0"/>
        <v>2D</v>
      </c>
      <c r="G24" s="104" t="str">
        <f t="shared" si="1"/>
        <v/>
      </c>
      <c r="J24" s="188">
        <v>5</v>
      </c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57</v>
      </c>
      <c r="B25" s="95" t="str">
        <f>IFERROR(IF(INDEX('Open 1'!$A:$F,MATCH('Open 1 Results'!$E25,'Open 1'!$F:$F,0),2)&gt;0,INDEX('Open 1'!$A:$F,MATCH('Open 1 Results'!$E25,'Open 1'!$F:$F,0),2),""),"")</f>
        <v>Karen Clausen</v>
      </c>
      <c r="C25" s="95" t="str">
        <f>IFERROR(IF(INDEX('Open 1'!$A:$F,MATCH('Open 1 Results'!$E25,'Open 1'!$F:$F,0),3)&gt;0,INDEX('Open 1'!$A:$F,MATCH('Open 1 Results'!$E25,'Open 1'!$F:$F,0),3),""),"")</f>
        <v>SRR Cougar Cat</v>
      </c>
      <c r="D25" s="96">
        <f>IFERROR(IF(AND(SMALL('Open 1'!F:F,L25)&gt;1000,SMALL('Open 1'!F:F,L25)&lt;3000),"nt",IF(SMALL('Open 1'!F:F,L25)&gt;3000,"",SMALL('Open 1'!F:F,L25))),"")</f>
        <v>14.950000068</v>
      </c>
      <c r="E25" s="132">
        <f>IF(D25="nt",IFERROR(SMALL('Open 1'!F:F,L25),""),IF(D25&gt;3000,"",IFERROR(SMALL('Open 1'!F:F,L25),"")))</f>
        <v>14.950000068</v>
      </c>
      <c r="F25" s="97" t="str">
        <f t="shared" si="0"/>
        <v>2D</v>
      </c>
      <c r="G25" s="104" t="str">
        <f t="shared" si="1"/>
        <v/>
      </c>
      <c r="J25" s="188"/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58</v>
      </c>
      <c r="B26" s="95" t="str">
        <f>IFERROR(IF(INDEX('Open 1'!$A:$F,MATCH('Open 1 Results'!$E26,'Open 1'!$F:$F,0),2)&gt;0,INDEX('Open 1'!$A:$F,MATCH('Open 1 Results'!$E26,'Open 1'!$F:$F,0),2),""),"")</f>
        <v>Penny Schlagel</v>
      </c>
      <c r="C26" s="95" t="str">
        <f>IFERROR(IF(INDEX('Open 1'!$A:$F,MATCH('Open 1 Results'!$E26,'Open 1'!$F:$F,0),3)&gt;0,INDEX('Open 1'!$A:$F,MATCH('Open 1 Results'!$E26,'Open 1'!$F:$F,0),3),""),"")</f>
        <v>BI Serendipity</v>
      </c>
      <c r="D26" s="96">
        <f>IFERROR(IF(AND(SMALL('Open 1'!F:F,L26)&gt;1000,SMALL('Open 1'!F:F,L26)&lt;3000),"nt",IF(SMALL('Open 1'!F:F,L26)&gt;3000,"",SMALL('Open 1'!F:F,L26))),"")</f>
        <v>14.953000069</v>
      </c>
      <c r="E26" s="132">
        <f>IF(D26="nt",IFERROR(SMALL('Open 1'!F:F,L26),""),IF(D26&gt;3000,"",IFERROR(SMALL('Open 1'!F:F,L26),"")))</f>
        <v>14.953000069</v>
      </c>
      <c r="F26" s="97" t="str">
        <f t="shared" si="0"/>
        <v>2D</v>
      </c>
      <c r="G26" s="104" t="str">
        <f t="shared" si="1"/>
        <v/>
      </c>
      <c r="J26" s="188"/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47</v>
      </c>
      <c r="B27" s="95" t="str">
        <f>IFERROR(IF(INDEX('Open 1'!$A:$F,MATCH('Open 1 Results'!$E27,'Open 1'!$F:$F,0),2)&gt;0,INDEX('Open 1'!$A:$F,MATCH('Open 1 Results'!$E27,'Open 1'!$F:$F,0),2),""),"")</f>
        <v>Rachel Kelderman</v>
      </c>
      <c r="C27" s="95" t="str">
        <f>IFERROR(IF(INDEX('Open 1'!$A:$F,MATCH('Open 1 Results'!$E27,'Open 1'!$F:$F,0),3)&gt;0,INDEX('Open 1'!$A:$F,MATCH('Open 1 Results'!$E27,'Open 1'!$F:$F,0),3),""),"")</f>
        <v>Leo</v>
      </c>
      <c r="D27" s="96">
        <f>IFERROR(IF(AND(SMALL('Open 1'!F:F,L27)&gt;1000,SMALL('Open 1'!F:F,L27)&lt;3000),"nt",IF(SMALL('Open 1'!F:F,L27)&gt;3000,"",SMALL('Open 1'!F:F,L27))),"")</f>
        <v>14.968000055999999</v>
      </c>
      <c r="E27" s="132">
        <f>IF(D27="nt",IFERROR(SMALL('Open 1'!F:F,L27),""),IF(D27&gt;3000,"",IFERROR(SMALL('Open 1'!F:F,L27),"")))</f>
        <v>14.968000055999999</v>
      </c>
      <c r="F27" s="97" t="str">
        <f t="shared" si="0"/>
        <v>2D</v>
      </c>
      <c r="G27" s="104" t="str">
        <f t="shared" si="1"/>
        <v/>
      </c>
      <c r="J27" s="188"/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20</v>
      </c>
      <c r="B28" s="95" t="str">
        <f>IFERROR(IF(INDEX('Open 1'!$A:$F,MATCH('Open 1 Results'!$E28,'Open 1'!$F:$F,0),2)&gt;0,INDEX('Open 1'!$A:$F,MATCH('Open 1 Results'!$E28,'Open 1'!$F:$F,0),2),""),"")</f>
        <v>Deb Kruger</v>
      </c>
      <c r="C28" s="95" t="str">
        <f>IFERROR(IF(INDEX('Open 1'!$A:$F,MATCH('Open 1 Results'!$E28,'Open 1'!$F:$F,0),3)&gt;0,INDEX('Open 1'!$A:$F,MATCH('Open 1 Results'!$E28,'Open 1'!$F:$F,0),3),""),"")</f>
        <v>Fast Sassafrass</v>
      </c>
      <c r="D28" s="96">
        <f>IFERROR(IF(AND(SMALL('Open 1'!F:F,L28)&gt;1000,SMALL('Open 1'!F:F,L28)&lt;3000),"nt",IF(SMALL('Open 1'!F:F,L28)&gt;3000,"",SMALL('Open 1'!F:F,L28))),"")</f>
        <v>14.987000023</v>
      </c>
      <c r="E28" s="132">
        <f>IF(D28="nt",IFERROR(SMALL('Open 1'!F:F,L28),""),IF(D28&gt;3000,"",IFERROR(SMALL('Open 1'!F:F,L28),"")))</f>
        <v>14.987000023</v>
      </c>
      <c r="F28" s="97" t="str">
        <f t="shared" si="0"/>
        <v>2D</v>
      </c>
      <c r="G28" s="104" t="str">
        <f t="shared" si="1"/>
        <v/>
      </c>
      <c r="J28" s="188"/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38</v>
      </c>
      <c r="B29" s="95" t="str">
        <f>IFERROR(IF(INDEX('Open 1'!$A:$F,MATCH('Open 1 Results'!$E29,'Open 1'!$F:$F,0),2)&gt;0,INDEX('Open 1'!$A:$F,MATCH('Open 1 Results'!$E29,'Open 1'!$F:$F,0),2),""),"")</f>
        <v>Kamber Bosse</v>
      </c>
      <c r="C29" s="95" t="str">
        <f>IFERROR(IF(INDEX('Open 1'!$A:$F,MATCH('Open 1 Results'!$E29,'Open 1'!$F:$F,0),3)&gt;0,INDEX('Open 1'!$A:$F,MATCH('Open 1 Results'!$E29,'Open 1'!$F:$F,0),3),""),"")</f>
        <v>ACSparklinMoonshine</v>
      </c>
      <c r="D29" s="96">
        <f>IFERROR(IF(AND(SMALL('Open 1'!F:F,L29)&gt;1000,SMALL('Open 1'!F:F,L29)&lt;3000),"nt",IF(SMALL('Open 1'!F:F,L29)&gt;3000,"",SMALL('Open 1'!F:F,L29))),"")</f>
        <v>15.012000045000001</v>
      </c>
      <c r="E29" s="132">
        <f>IF(D29="nt",IFERROR(SMALL('Open 1'!F:F,L29),""),IF(D29&gt;3000,"",IFERROR(SMALL('Open 1'!F:F,L29),"")))</f>
        <v>15.012000045000001</v>
      </c>
      <c r="F29" s="97" t="str">
        <f t="shared" si="0"/>
        <v>2D</v>
      </c>
      <c r="G29" s="104" t="str">
        <f t="shared" si="1"/>
        <v/>
      </c>
      <c r="J29" s="188"/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56</v>
      </c>
      <c r="B30" s="95" t="str">
        <f>IFERROR(IF(INDEX('Open 1'!$A:$F,MATCH('Open 1 Results'!$E30,'Open 1'!$F:$F,0),2)&gt;0,INDEX('Open 1'!$A:$F,MATCH('Open 1 Results'!$E30,'Open 1'!$F:$F,0),2),""),"")</f>
        <v>Erica Traut</v>
      </c>
      <c r="C30" s="95" t="str">
        <f>IFERROR(IF(INDEX('Open 1'!$A:$F,MATCH('Open 1 Results'!$E30,'Open 1'!$F:$F,0),3)&gt;0,INDEX('Open 1'!$A:$F,MATCH('Open 1 Results'!$E30,'Open 1'!$F:$F,0),3),""),"")</f>
        <v>RDC Eym French Nrare</v>
      </c>
      <c r="D30" s="96">
        <f>IFERROR(IF(AND(SMALL('Open 1'!F:F,L30)&gt;1000,SMALL('Open 1'!F:F,L30)&lt;3000),"nt",IF(SMALL('Open 1'!F:F,L30)&gt;3000,"",SMALL('Open 1'!F:F,L30))),"")</f>
        <v>15.033000067</v>
      </c>
      <c r="E30" s="132">
        <f>IF(D30="nt",IFERROR(SMALL('Open 1'!F:F,L30),""),IF(D30&gt;3000,"",IFERROR(SMALL('Open 1'!F:F,L30),"")))</f>
        <v>15.033000067</v>
      </c>
      <c r="F30" s="97" t="str">
        <f t="shared" si="0"/>
        <v>3D</v>
      </c>
      <c r="G30" s="104" t="str">
        <f t="shared" si="1"/>
        <v>3D</v>
      </c>
      <c r="J30" s="188"/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39</v>
      </c>
      <c r="B31" s="95" t="str">
        <f>IFERROR(IF(INDEX('Open 1'!$A:$F,MATCH('Open 1 Results'!$E31,'Open 1'!$F:$F,0),2)&gt;0,INDEX('Open 1'!$A:$F,MATCH('Open 1 Results'!$E31,'Open 1'!$F:$F,0),2),""),"")</f>
        <v>Hayden Seitz</v>
      </c>
      <c r="C31" s="95" t="str">
        <f>IFERROR(IF(INDEX('Open 1'!$A:$F,MATCH('Open 1 Results'!$E31,'Open 1'!$F:$F,0),3)&gt;0,INDEX('Open 1'!$A:$F,MATCH('Open 1 Results'!$E31,'Open 1'!$F:$F,0),3),""),"")</f>
        <v>Jitter</v>
      </c>
      <c r="D31" s="96">
        <f>IFERROR(IF(AND(SMALL('Open 1'!F:F,L31)&gt;1000,SMALL('Open 1'!F:F,L31)&lt;3000),"nt",IF(SMALL('Open 1'!F:F,L31)&gt;3000,"",SMALL('Open 1'!F:F,L31))),"")</f>
        <v>15.100000046</v>
      </c>
      <c r="E31" s="132">
        <f>IF(D31="nt",IFERROR(SMALL('Open 1'!F:F,L31),""),IF(D31&gt;3000,"",IFERROR(SMALL('Open 1'!F:F,L31),"")))</f>
        <v>15.100000046</v>
      </c>
      <c r="F31" s="97" t="str">
        <f t="shared" si="0"/>
        <v>3D</v>
      </c>
      <c r="G31" s="104" t="str">
        <f t="shared" si="1"/>
        <v/>
      </c>
      <c r="J31" s="188"/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48</v>
      </c>
      <c r="B32" s="95" t="str">
        <f>IFERROR(IF(INDEX('Open 1'!$A:$F,MATCH('Open 1 Results'!$E32,'Open 1'!$F:$F,0),2)&gt;0,INDEX('Open 1'!$A:$F,MATCH('Open 1 Results'!$E32,'Open 1'!$F:$F,0),2),""),"")</f>
        <v>Megan Rosendahl</v>
      </c>
      <c r="C32" s="95" t="str">
        <f>IFERROR(IF(INDEX('Open 1'!$A:$F,MATCH('Open 1 Results'!$E32,'Open 1'!$F:$F,0),3)&gt;0,INDEX('Open 1'!$A:$F,MATCH('Open 1 Results'!$E32,'Open 1'!$F:$F,0),3),""),"")</f>
        <v>A Dash of Jerzy Cash</v>
      </c>
      <c r="D32" s="96">
        <f>IFERROR(IF(AND(SMALL('Open 1'!F:F,L32)&gt;1000,SMALL('Open 1'!F:F,L32)&lt;3000),"nt",IF(SMALL('Open 1'!F:F,L32)&gt;3000,"",SMALL('Open 1'!F:F,L32))),"")</f>
        <v>15.192000057</v>
      </c>
      <c r="E32" s="132">
        <f>IF(D32="nt",IFERROR(SMALL('Open 1'!F:F,L32),""),IF(D32&gt;3000,"",IFERROR(SMALL('Open 1'!F:F,L32),"")))</f>
        <v>15.192000057</v>
      </c>
      <c r="F32" s="97" t="str">
        <f t="shared" si="0"/>
        <v>3D</v>
      </c>
      <c r="G32" s="104" t="str">
        <f t="shared" si="1"/>
        <v/>
      </c>
      <c r="J32" s="188"/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49</v>
      </c>
      <c r="B33" s="95" t="str">
        <f>IFERROR(IF(INDEX('Open 1'!$A:$F,MATCH('Open 1 Results'!$E33,'Open 1'!$F:$F,0),2)&gt;0,INDEX('Open 1'!$A:$F,MATCH('Open 1 Results'!$E33,'Open 1'!$F:$F,0),2),""),"")</f>
        <v>Brittany Dieters</v>
      </c>
      <c r="C33" s="95" t="str">
        <f>IFERROR(IF(INDEX('Open 1'!$A:$F,MATCH('Open 1 Results'!$E33,'Open 1'!$F:$F,0),3)&gt;0,INDEX('Open 1'!$A:$F,MATCH('Open 1 Results'!$E33,'Open 1'!$F:$F,0),3),""),"")</f>
        <v>Carl's Bad Cat (Maui)</v>
      </c>
      <c r="D33" s="96">
        <f>IFERROR(IF(AND(SMALL('Open 1'!F:F,L33)&gt;1000,SMALL('Open 1'!F:F,L33)&lt;3000),"nt",IF(SMALL('Open 1'!F:F,L33)&gt;3000,"",SMALL('Open 1'!F:F,L33))),"")</f>
        <v>15.241000057999999</v>
      </c>
      <c r="E33" s="132">
        <f>IF(D33="nt",IFERROR(SMALL('Open 1'!F:F,L33),""),IF(D33&gt;3000,"",IFERROR(SMALL('Open 1'!F:F,L33),"")))</f>
        <v>15.241000057999999</v>
      </c>
      <c r="F33" s="97" t="str">
        <f t="shared" si="0"/>
        <v>3D</v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25</v>
      </c>
      <c r="B34" s="95" t="str">
        <f>IFERROR(IF(INDEX('Open 1'!$A:$F,MATCH('Open 1 Results'!$E34,'Open 1'!$F:$F,0),2)&gt;0,INDEX('Open 1'!$A:$F,MATCH('Open 1 Results'!$E34,'Open 1'!$F:$F,0),2),""),"")</f>
        <v>Janice Roebuck</v>
      </c>
      <c r="C34" s="95" t="str">
        <f>IFERROR(IF(INDEX('Open 1'!$A:$F,MATCH('Open 1 Results'!$E34,'Open 1'!$F:$F,0),3)&gt;0,INDEX('Open 1'!$A:$F,MATCH('Open 1 Results'!$E34,'Open 1'!$F:$F,0),3),""),"")</f>
        <v>Holly</v>
      </c>
      <c r="D34" s="96">
        <f>IFERROR(IF(AND(SMALL('Open 1'!F:F,L34)&gt;1000,SMALL('Open 1'!F:F,L34)&lt;3000),"nt",IF(SMALL('Open 1'!F:F,L34)&gt;3000,"",SMALL('Open 1'!F:F,L34))),"")</f>
        <v>15.302000029</v>
      </c>
      <c r="E34" s="132">
        <f>IF(D34="nt",IFERROR(SMALL('Open 1'!F:F,L34),""),IF(D34&gt;3000,"",IFERROR(SMALL('Open 1'!F:F,L34),"")))</f>
        <v>15.302000029</v>
      </c>
      <c r="F34" s="97" t="str">
        <f t="shared" si="0"/>
        <v>3D</v>
      </c>
      <c r="G34" s="104" t="str">
        <f t="shared" si="1"/>
        <v/>
      </c>
      <c r="J34" s="188">
        <v>5</v>
      </c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41</v>
      </c>
      <c r="B35" s="95" t="str">
        <f>IFERROR(IF(INDEX('Open 1'!$A:$F,MATCH('Open 1 Results'!$E35,'Open 1'!$F:$F,0),2)&gt;0,INDEX('Open 1'!$A:$F,MATCH('Open 1 Results'!$E35,'Open 1'!$F:$F,0),2),""),"")</f>
        <v>Pam Vankekerix</v>
      </c>
      <c r="C35" s="95" t="str">
        <f>IFERROR(IF(INDEX('Open 1'!$A:$F,MATCH('Open 1 Results'!$E35,'Open 1'!$F:$F,0),3)&gt;0,INDEX('Open 1'!$A:$F,MATCH('Open 1 Results'!$E35,'Open 1'!$F:$F,0),3),""),"")</f>
        <v>JPS Kas IM stylish</v>
      </c>
      <c r="D35" s="96">
        <f>IFERROR(IF(AND(SMALL('Open 1'!F:F,L35)&gt;1000,SMALL('Open 1'!F:F,L35)&lt;3000),"nt",IF(SMALL('Open 1'!F:F,L35)&gt;3000,"",SMALL('Open 1'!F:F,L35))),"")</f>
        <v>15.406000049000001</v>
      </c>
      <c r="E35" s="132">
        <f>IF(D35="nt",IFERROR(SMALL('Open 1'!F:F,L35),""),IF(D35&gt;3000,"",IFERROR(SMALL('Open 1'!F:F,L35),"")))</f>
        <v>15.406000049000001</v>
      </c>
      <c r="F35" s="97" t="str">
        <f t="shared" si="0"/>
        <v>3D</v>
      </c>
      <c r="G35" s="104" t="str">
        <f t="shared" si="1"/>
        <v/>
      </c>
      <c r="J35" s="188">
        <v>4</v>
      </c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45</v>
      </c>
      <c r="B36" s="95" t="str">
        <f>IFERROR(IF(INDEX('Open 1'!$A:$F,MATCH('Open 1 Results'!$E36,'Open 1'!$F:$F,0),2)&gt;0,INDEX('Open 1'!$A:$F,MATCH('Open 1 Results'!$E36,'Open 1'!$F:$F,0),2),""),"")</f>
        <v>Anne Ammot</v>
      </c>
      <c r="C36" s="95" t="str">
        <f>IFERROR(IF(INDEX('Open 1'!$A:$F,MATCH('Open 1 Results'!$E36,'Open 1'!$F:$F,0),3)&gt;0,INDEX('Open 1'!$A:$F,MATCH('Open 1 Results'!$E36,'Open 1'!$F:$F,0),3),""),"")</f>
        <v>Hattie</v>
      </c>
      <c r="D36" s="96">
        <f>IFERROR(IF(AND(SMALL('Open 1'!F:F,L36)&gt;1000,SMALL('Open 1'!F:F,L36)&lt;3000),"nt",IF(SMALL('Open 1'!F:F,L36)&gt;3000,"",SMALL('Open 1'!F:F,L36))),"")</f>
        <v>15.449000053000001</v>
      </c>
      <c r="E36" s="132">
        <f>IF(D36="nt",IFERROR(SMALL('Open 1'!F:F,L36),""),IF(D36&gt;3000,"",IFERROR(SMALL('Open 1'!F:F,L36),"")))</f>
        <v>15.449000053000001</v>
      </c>
      <c r="F36" s="97" t="str">
        <f t="shared" si="0"/>
        <v>3D</v>
      </c>
      <c r="G36" s="104" t="str">
        <f t="shared" si="1"/>
        <v/>
      </c>
      <c r="J36" s="188"/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9</v>
      </c>
      <c r="B37" s="95" t="str">
        <f>IFERROR(IF(INDEX('Open 1'!$A:$F,MATCH('Open 1 Results'!$E37,'Open 1'!$F:$F,0),2)&gt;0,INDEX('Open 1'!$A:$F,MATCH('Open 1 Results'!$E37,'Open 1'!$F:$F,0),2),""),"")</f>
        <v>Elaine Hagen</v>
      </c>
      <c r="C37" s="95" t="str">
        <f>IFERROR(IF(INDEX('Open 1'!$A:$F,MATCH('Open 1 Results'!$E37,'Open 1'!$F:$F,0),3)&gt;0,INDEX('Open 1'!$A:$F,MATCH('Open 1 Results'!$E37,'Open 1'!$F:$F,0),3),""),"")</f>
        <v>MIP Streakin Seltzer</v>
      </c>
      <c r="D37" s="96">
        <f>IFERROR(IF(AND(SMALL('Open 1'!F:F,L37)&gt;1000,SMALL('Open 1'!F:F,L37)&lt;3000),"nt",IF(SMALL('Open 1'!F:F,L37)&gt;3000,"",SMALL('Open 1'!F:F,L37))),"")</f>
        <v>15.602000010000001</v>
      </c>
      <c r="E37" s="132">
        <f>IF(D37="nt",IFERROR(SMALL('Open 1'!F:F,L37),""),IF(D37&gt;3000,"",IFERROR(SMALL('Open 1'!F:F,L37),"")))</f>
        <v>15.602000010000001</v>
      </c>
      <c r="F37" s="97" t="str">
        <f t="shared" si="0"/>
        <v>3D</v>
      </c>
      <c r="G37" s="104">
        <f>AH8</f>
        <v>0</v>
      </c>
      <c r="J37" s="188">
        <v>3</v>
      </c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8</v>
      </c>
      <c r="B38" s="95" t="str">
        <f>IFERROR(IF(INDEX('Open 1'!$A:$F,MATCH('Open 1 Results'!$E38,'Open 1'!$F:$F,0),2)&gt;0,INDEX('Open 1'!$A:$F,MATCH('Open 1 Results'!$E38,'Open 1'!$F:$F,0),2),""),"")</f>
        <v>Kristan Soukup</v>
      </c>
      <c r="C38" s="95" t="str">
        <f>IFERROR(IF(INDEX('Open 1'!$A:$F,MATCH('Open 1 Results'!$E38,'Open 1'!$F:$F,0),3)&gt;0,INDEX('Open 1'!$A:$F,MATCH('Open 1 Results'!$E38,'Open 1'!$F:$F,0),3),""),"")</f>
        <v>PC Remarkable</v>
      </c>
      <c r="D38" s="96">
        <f>IFERROR(IF(AND(SMALL('Open 1'!F:F,L38)&gt;1000,SMALL('Open 1'!F:F,L38)&lt;3000),"nt",IF(SMALL('Open 1'!F:F,L38)&gt;3000,"",SMALL('Open 1'!F:F,L38))),"")</f>
        <v>15.623000009</v>
      </c>
      <c r="E38" s="132">
        <f>IF(D38="nt",IFERROR(SMALL('Open 1'!F:F,L38),""),IF(D38&gt;3000,"",IFERROR(SMALL('Open 1'!F:F,L38),"")))</f>
        <v>15.623000009</v>
      </c>
      <c r="F38" s="97" t="str">
        <f t="shared" si="0"/>
        <v>3D</v>
      </c>
      <c r="G38" s="104" t="str">
        <f t="shared" si="1"/>
        <v/>
      </c>
      <c r="J38" s="188"/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18</v>
      </c>
      <c r="B39" s="95" t="str">
        <f>IFERROR(IF(INDEX('Open 1'!$A:$F,MATCH('Open 1 Results'!$E39,'Open 1'!$F:$F,0),2)&gt;0,INDEX('Open 1'!$A:$F,MATCH('Open 1 Results'!$E39,'Open 1'!$F:$F,0),2),""),"")</f>
        <v>Kara Martin</v>
      </c>
      <c r="C39" s="95" t="str">
        <f>IFERROR(IF(INDEX('Open 1'!$A:$F,MATCH('Open 1 Results'!$E39,'Open 1'!$F:$F,0),3)&gt;0,INDEX('Open 1'!$A:$F,MATCH('Open 1 Results'!$E39,'Open 1'!$F:$F,0),3),""),"")</f>
        <v>Dasher</v>
      </c>
      <c r="D39" s="96">
        <f>IFERROR(IF(AND(SMALL('Open 1'!F:F,L39)&gt;1000,SMALL('Open 1'!F:F,L39)&lt;3000),"nt",IF(SMALL('Open 1'!F:F,L39)&gt;3000,"",SMALL('Open 1'!F:F,L39))),"")</f>
        <v>15.708000021</v>
      </c>
      <c r="E39" s="132">
        <f>IF(D39="nt",IFERROR(SMALL('Open 1'!F:F,L39),""),IF(D39&gt;3000,"",IFERROR(SMALL('Open 1'!F:F,L39),"")))</f>
        <v>15.708000021</v>
      </c>
      <c r="F39" s="97" t="str">
        <f t="shared" si="0"/>
        <v>3D</v>
      </c>
      <c r="G39" s="104" t="str">
        <f t="shared" si="1"/>
        <v/>
      </c>
      <c r="J39" s="188"/>
      <c r="K39" s="141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64</v>
      </c>
      <c r="B40" s="95" t="str">
        <f>IFERROR(IF(INDEX('Open 1'!$A:$F,MATCH('Open 1 Results'!$E40,'Open 1'!$F:$F,0),2)&gt;0,INDEX('Open 1'!$A:$F,MATCH('Open 1 Results'!$E40,'Open 1'!$F:$F,0),2),""),"")</f>
        <v>Elaine Hagen</v>
      </c>
      <c r="C40" s="95" t="str">
        <f>IFERROR(IF(INDEX('Open 1'!$A:$F,MATCH('Open 1 Results'!$E40,'Open 1'!$F:$F,0),3)&gt;0,INDEX('Open 1'!$A:$F,MATCH('Open 1 Results'!$E40,'Open 1'!$F:$F,0),3),""),"")</f>
        <v>Sawyers Jo Glo</v>
      </c>
      <c r="D40" s="96">
        <f>IFERROR(IF(AND(SMALL('Open 1'!F:F,L40)&gt;1000,SMALL('Open 1'!F:F,L40)&lt;3000),"nt",IF(SMALL('Open 1'!F:F,L40)&gt;3000,"",SMALL('Open 1'!F:F,L40))),"")</f>
        <v>15.726000076</v>
      </c>
      <c r="E40" s="132">
        <f>IF(D40="nt",IFERROR(SMALL('Open 1'!F:F,L40),""),IF(D40&gt;3000,"",IFERROR(SMALL('Open 1'!F:F,L40),"")))</f>
        <v>15.726000076</v>
      </c>
      <c r="F40" s="97" t="str">
        <f t="shared" si="0"/>
        <v>3D</v>
      </c>
      <c r="G40" s="104" t="str">
        <f t="shared" si="1"/>
        <v/>
      </c>
      <c r="J40" s="188">
        <v>2</v>
      </c>
      <c r="K40" s="141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14</v>
      </c>
      <c r="B41" s="95" t="str">
        <f>IFERROR(IF(INDEX('Open 1'!$A:$F,MATCH('Open 1 Results'!$E41,'Open 1'!$F:$F,0),2)&gt;0,INDEX('Open 1'!$A:$F,MATCH('Open 1 Results'!$E41,'Open 1'!$F:$F,0),2),""),"")</f>
        <v>Olivia Selleck</v>
      </c>
      <c r="C41" s="95" t="str">
        <f>IFERROR(IF(INDEX('Open 1'!$A:$F,MATCH('Open 1 Results'!$E41,'Open 1'!$F:$F,0),3)&gt;0,INDEX('Open 1'!$A:$F,MATCH('Open 1 Results'!$E41,'Open 1'!$F:$F,0),3),""),"")</f>
        <v>MMT Rebel In Motion</v>
      </c>
      <c r="D41" s="96">
        <f>IFERROR(IF(AND(SMALL('Open 1'!F:F,L41)&gt;1000,SMALL('Open 1'!F:F,L41)&lt;3000),"nt",IF(SMALL('Open 1'!F:F,L41)&gt;3000,"",SMALL('Open 1'!F:F,L41))),"")</f>
        <v>15.727000016</v>
      </c>
      <c r="E41" s="132">
        <f>IF(D41="nt",IFERROR(SMALL('Open 1'!F:F,L41),""),IF(D41&gt;3000,"",IFERROR(SMALL('Open 1'!F:F,L41),"")))</f>
        <v>15.727000016</v>
      </c>
      <c r="F41" s="97" t="str">
        <f t="shared" si="0"/>
        <v>3D</v>
      </c>
      <c r="G41" s="104" t="str">
        <f t="shared" si="1"/>
        <v/>
      </c>
      <c r="J41" s="188"/>
      <c r="K41" s="141"/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5</v>
      </c>
      <c r="B42" s="95" t="str">
        <f>IFERROR(IF(INDEX('Open 1'!$A:$F,MATCH('Open 1 Results'!$E42,'Open 1'!$F:$F,0),2)&gt;0,INDEX('Open 1'!$A:$F,MATCH('Open 1 Results'!$E42,'Open 1'!$F:$F,0),2),""),"")</f>
        <v>Aleah Marco</v>
      </c>
      <c r="C42" s="95" t="str">
        <f>IFERROR(IF(INDEX('Open 1'!$A:$F,MATCH('Open 1 Results'!$E42,'Open 1'!$F:$F,0),3)&gt;0,INDEX('Open 1'!$A:$F,MATCH('Open 1 Results'!$E42,'Open 1'!$F:$F,0),3),""),"")</f>
        <v>Premier Passum</v>
      </c>
      <c r="D42" s="96">
        <f>IFERROR(IF(AND(SMALL('Open 1'!F:F,L42)&gt;1000,SMALL('Open 1'!F:F,L42)&lt;3000),"nt",IF(SMALL('Open 1'!F:F,L42)&gt;3000,"",SMALL('Open 1'!F:F,L42))),"")</f>
        <v>15.908000005</v>
      </c>
      <c r="E42" s="132">
        <f>IF(D42="nt",IFERROR(SMALL('Open 1'!F:F,L42),""),IF(D42&gt;3000,"",IFERROR(SMALL('Open 1'!F:F,L42),"")))</f>
        <v>15.908000005</v>
      </c>
      <c r="F42" s="97" t="str">
        <f t="shared" si="0"/>
        <v>3D</v>
      </c>
      <c r="G42" s="104" t="str">
        <f t="shared" si="1"/>
        <v/>
      </c>
      <c r="J42" s="188"/>
      <c r="K42" s="141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71</v>
      </c>
      <c r="B43" s="95" t="str">
        <f>IFERROR(IF(INDEX('Open 1'!$A:$F,MATCH('Open 1 Results'!$E43,'Open 1'!$F:$F,0),2)&gt;0,INDEX('Open 1'!$A:$F,MATCH('Open 1 Results'!$E43,'Open 1'!$F:$F,0),2),""),"")</f>
        <v>Kara Martin</v>
      </c>
      <c r="C43" s="95" t="str">
        <f>IFERROR(IF(INDEX('Open 1'!$A:$F,MATCH('Open 1 Results'!$E43,'Open 1'!$F:$F,0),3)&gt;0,INDEX('Open 1'!$A:$F,MATCH('Open 1 Results'!$E43,'Open 1'!$F:$F,0),3),""),"")</f>
        <v>Flame</v>
      </c>
      <c r="D43" s="96">
        <f>IFERROR(IF(AND(SMALL('Open 1'!F:F,L43)&gt;1000,SMALL('Open 1'!F:F,L43)&lt;3000),"nt",IF(SMALL('Open 1'!F:F,L43)&gt;3000,"",SMALL('Open 1'!F:F,L43))),"")</f>
        <v>15.936000085</v>
      </c>
      <c r="E43" s="132">
        <f>IF(D43="nt",IFERROR(SMALL('Open 1'!F:F,L43),""),IF(D43&gt;3000,"",IFERROR(SMALL('Open 1'!F:F,L43),"")))</f>
        <v>15.936000085</v>
      </c>
      <c r="F43" s="97" t="str">
        <f t="shared" si="0"/>
        <v>3D</v>
      </c>
      <c r="G43" s="104" t="str">
        <f t="shared" si="1"/>
        <v/>
      </c>
      <c r="J43" s="188"/>
      <c r="K43" s="141"/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53</v>
      </c>
      <c r="B44" s="95" t="str">
        <f>IFERROR(IF(INDEX('Open 1'!$A:$F,MATCH('Open 1 Results'!$E44,'Open 1'!$F:$F,0),2)&gt;0,INDEX('Open 1'!$A:$F,MATCH('Open 1 Results'!$E44,'Open 1'!$F:$F,0),2),""),"")</f>
        <v>Olivia Selleck</v>
      </c>
      <c r="C44" s="95" t="str">
        <f>IFERROR(IF(INDEX('Open 1'!$A:$F,MATCH('Open 1 Results'!$E44,'Open 1'!$F:$F,0),3)&gt;0,INDEX('Open 1'!$A:$F,MATCH('Open 1 Results'!$E44,'Open 1'!$F:$F,0),3),""),"")</f>
        <v>TresTimesTheDynamite</v>
      </c>
      <c r="D44" s="96">
        <f>IFERROR(IF(AND(SMALL('Open 1'!F:F,L44)&gt;1000,SMALL('Open 1'!F:F,L44)&lt;3000),"nt",IF(SMALL('Open 1'!F:F,L44)&gt;3000,"",SMALL('Open 1'!F:F,L44))),"")</f>
        <v>16.016000063</v>
      </c>
      <c r="E44" s="132">
        <f>IF(D44="nt",IFERROR(SMALL('Open 1'!F:F,L44),""),IF(D44&gt;3000,"",IFERROR(SMALL('Open 1'!F:F,L44),"")))</f>
        <v>16.016000063</v>
      </c>
      <c r="F44" s="97" t="str">
        <f t="shared" si="0"/>
        <v>4D</v>
      </c>
      <c r="G44" s="104" t="str">
        <f t="shared" si="1"/>
        <v>4D</v>
      </c>
      <c r="J44" s="188"/>
      <c r="K44" s="141"/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70</v>
      </c>
      <c r="B45" s="95" t="str">
        <f>IFERROR(IF(INDEX('Open 1'!$A:$F,MATCH('Open 1 Results'!$E45,'Open 1'!$F:$F,0),2)&gt;0,INDEX('Open 1'!$A:$F,MATCH('Open 1 Results'!$E45,'Open 1'!$F:$F,0),2),""),"")</f>
        <v>Carrie Dieters</v>
      </c>
      <c r="C45" s="95" t="str">
        <f>IFERROR(IF(INDEX('Open 1'!$A:$F,MATCH('Open 1 Results'!$E45,'Open 1'!$F:$F,0),3)&gt;0,INDEX('Open 1'!$A:$F,MATCH('Open 1 Results'!$E45,'Open 1'!$F:$F,0),3),""),"")</f>
        <v>A Guy With Fame</v>
      </c>
      <c r="D45" s="96">
        <f>IFERROR(IF(AND(SMALL('Open 1'!F:F,L45)&gt;1000,SMALL('Open 1'!F:F,L45)&lt;3000),"nt",IF(SMALL('Open 1'!F:F,L45)&gt;3000,"",SMALL('Open 1'!F:F,L45))),"")</f>
        <v>16.107000082999999</v>
      </c>
      <c r="E45" s="132">
        <f>IF(D45="nt",IFERROR(SMALL('Open 1'!F:F,L45),""),IF(D45&gt;3000,"",IFERROR(SMALL('Open 1'!F:F,L45),"")))</f>
        <v>16.107000082999999</v>
      </c>
      <c r="F45" s="97" t="str">
        <f t="shared" si="0"/>
        <v>4D</v>
      </c>
      <c r="G45" s="104" t="str">
        <f t="shared" si="1"/>
        <v/>
      </c>
      <c r="J45" s="188"/>
      <c r="K45" s="141"/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6</v>
      </c>
      <c r="B46" s="95" t="str">
        <f>IFERROR(IF(INDEX('Open 1'!$A:$F,MATCH('Open 1 Results'!$E46,'Open 1'!$F:$F,0),2)&gt;0,INDEX('Open 1'!$A:$F,MATCH('Open 1 Results'!$E46,'Open 1'!$F:$F,0),2),""),"")</f>
        <v>Megan Thorson</v>
      </c>
      <c r="C46" s="95" t="str">
        <f>IFERROR(IF(INDEX('Open 1'!$A:$F,MATCH('Open 1 Results'!$E46,'Open 1'!$F:$F,0),3)&gt;0,INDEX('Open 1'!$A:$F,MATCH('Open 1 Results'!$E46,'Open 1'!$F:$F,0),3),""),"")</f>
        <v>Rocky Rio Rebel</v>
      </c>
      <c r="D46" s="96">
        <f>IFERROR(IF(AND(SMALL('Open 1'!F:F,L46)&gt;1000,SMALL('Open 1'!F:F,L46)&lt;3000),"nt",IF(SMALL('Open 1'!F:F,L46)&gt;3000,"",SMALL('Open 1'!F:F,L46))),"")</f>
        <v>16.239000007000001</v>
      </c>
      <c r="E46" s="132">
        <f>IF(D46="nt",IFERROR(SMALL('Open 1'!F:F,L46),""),IF(D46&gt;3000,"",IFERROR(SMALL('Open 1'!F:F,L46),"")))</f>
        <v>16.239000007000001</v>
      </c>
      <c r="F46" s="97" t="str">
        <f t="shared" si="0"/>
        <v>4D</v>
      </c>
      <c r="G46" s="104" t="str">
        <f t="shared" si="1"/>
        <v/>
      </c>
      <c r="J46" s="188"/>
      <c r="K46" s="141"/>
      <c r="L46" s="68">
        <v>45</v>
      </c>
    </row>
    <row r="47" spans="1:12">
      <c r="A47" s="22">
        <f>IFERROR(IF(INDEX('Open 1'!$A:$F,MATCH('Open 1 Results'!$E47,'Open 1'!$F:$F,0),1)&gt;0,INDEX('Open 1'!$A:$F,MATCH('Open 1 Results'!$E47,'Open 1'!$F:$F,0),1),""),"")</f>
        <v>65</v>
      </c>
      <c r="B47" s="95" t="str">
        <f>IFERROR(IF(INDEX('Open 1'!$A:$F,MATCH('Open 1 Results'!$E47,'Open 1'!$F:$F,0),2)&gt;0,INDEX('Open 1'!$A:$F,MATCH('Open 1 Results'!$E47,'Open 1'!$F:$F,0),2),""),"")</f>
        <v>Sara Jo Lamb</v>
      </c>
      <c r="C47" s="95" t="str">
        <f>IFERROR(IF(INDEX('Open 1'!$A:$F,MATCH('Open 1 Results'!$E47,'Open 1'!$F:$F,0),3)&gt;0,INDEX('Open 1'!$A:$F,MATCH('Open 1 Results'!$E47,'Open 1'!$F:$F,0),3),""),"")</f>
        <v>Takin on a Goldmine</v>
      </c>
      <c r="D47" s="96">
        <f>IFERROR(IF(AND(SMALL('Open 1'!F:F,L47)&gt;1000,SMALL('Open 1'!F:F,L47)&lt;3000),"nt",IF(SMALL('Open 1'!F:F,L47)&gt;3000,"",SMALL('Open 1'!F:F,L47))),"")</f>
        <v>913.92400007699996</v>
      </c>
      <c r="E47" s="132">
        <f>IF(D47="nt",IFERROR(SMALL('Open 1'!F:F,L47),""),IF(D47&gt;3000,"",IFERROR(SMALL('Open 1'!F:F,L47),"")))</f>
        <v>913.92400007699996</v>
      </c>
      <c r="F47" s="97" t="str">
        <f t="shared" si="0"/>
        <v>4D</v>
      </c>
      <c r="G47" s="104" t="str">
        <f t="shared" si="1"/>
        <v/>
      </c>
      <c r="J47" s="188" t="s">
        <v>249</v>
      </c>
      <c r="K47" s="141"/>
      <c r="L47" s="68">
        <v>46</v>
      </c>
    </row>
    <row r="48" spans="1:12">
      <c r="A48" s="22">
        <f>IFERROR(IF(INDEX('Open 1'!$A:$F,MATCH('Open 1 Results'!$E48,'Open 1'!$F:$F,0),1)&gt;0,INDEX('Open 1'!$A:$F,MATCH('Open 1 Results'!$E48,'Open 1'!$F:$F,0),1),""),"")</f>
        <v>43</v>
      </c>
      <c r="B48" s="95" t="str">
        <f>IFERROR(IF(INDEX('Open 1'!$A:$F,MATCH('Open 1 Results'!$E48,'Open 1'!$F:$F,0),2)&gt;0,INDEX('Open 1'!$A:$F,MATCH('Open 1 Results'!$E48,'Open 1'!$F:$F,0),2),""),"")</f>
        <v>Sara Jo Lamb</v>
      </c>
      <c r="C48" s="95" t="str">
        <f>IFERROR(IF(INDEX('Open 1'!$A:$F,MATCH('Open 1 Results'!$E48,'Open 1'!$F:$F,0),3)&gt;0,INDEX('Open 1'!$A:$F,MATCH('Open 1 Results'!$E48,'Open 1'!$F:$F,0),3),""),"")</f>
        <v>Last Chance Fling</v>
      </c>
      <c r="D48" s="96">
        <f>IFERROR(IF(AND(SMALL('Open 1'!F:F,L48)&gt;1000,SMALL('Open 1'!F:F,L48)&lt;3000),"nt",IF(SMALL('Open 1'!F:F,L48)&gt;3000,"",SMALL('Open 1'!F:F,L48))),"")</f>
        <v>914.06800005100001</v>
      </c>
      <c r="E48" s="132">
        <f>IF(D48="nt",IFERROR(SMALL('Open 1'!F:F,L48),""),IF(D48&gt;3000,"",IFERROR(SMALL('Open 1'!F:F,L48),"")))</f>
        <v>914.06800005100001</v>
      </c>
      <c r="F48" s="97" t="str">
        <f t="shared" si="0"/>
        <v>4D</v>
      </c>
      <c r="G48" s="104" t="str">
        <f t="shared" si="1"/>
        <v/>
      </c>
      <c r="J48" s="188" t="s">
        <v>249</v>
      </c>
      <c r="K48" s="141"/>
      <c r="L48" s="68">
        <v>47</v>
      </c>
    </row>
    <row r="49" spans="1:12">
      <c r="A49" s="22">
        <f>IFERROR(IF(INDEX('Open 1'!$A:$F,MATCH('Open 1 Results'!$E49,'Open 1'!$F:$F,0),1)&gt;0,INDEX('Open 1'!$A:$F,MATCH('Open 1 Results'!$E49,'Open 1'!$F:$F,0),1),""),"")</f>
        <v>59</v>
      </c>
      <c r="B49" s="95" t="str">
        <f>IFERROR(IF(INDEX('Open 1'!$A:$F,MATCH('Open 1 Results'!$E49,'Open 1'!$F:$F,0),2)&gt;0,INDEX('Open 1'!$A:$F,MATCH('Open 1 Results'!$E49,'Open 1'!$F:$F,0),2),""),"")</f>
        <v>Josey Fey</v>
      </c>
      <c r="C49" s="95" t="str">
        <f>IFERROR(IF(INDEX('Open 1'!$A:$F,MATCH('Open 1 Results'!$E49,'Open 1'!$F:$F,0),3)&gt;0,INDEX('Open 1'!$A:$F,MATCH('Open 1 Results'!$E49,'Open 1'!$F:$F,0),3),""),"")</f>
        <v>Gunning for Fame</v>
      </c>
      <c r="D49" s="96">
        <f>IFERROR(IF(AND(SMALL('Open 1'!F:F,L49)&gt;1000,SMALL('Open 1'!F:F,L49)&lt;3000),"nt",IF(SMALL('Open 1'!F:F,L49)&gt;3000,"",SMALL('Open 1'!F:F,L49))),"")</f>
        <v>914.44720007000001</v>
      </c>
      <c r="E49" s="132">
        <f>IF(D49="nt",IFERROR(SMALL('Open 1'!F:F,L49),""),IF(D49&gt;3000,"",IFERROR(SMALL('Open 1'!F:F,L49),"")))</f>
        <v>914.44720007000001</v>
      </c>
      <c r="F49" s="97" t="str">
        <f t="shared" si="0"/>
        <v>4D</v>
      </c>
      <c r="G49" s="104" t="str">
        <f t="shared" si="1"/>
        <v/>
      </c>
      <c r="J49" s="188"/>
      <c r="K49" s="141"/>
      <c r="L49" s="68">
        <v>48</v>
      </c>
    </row>
    <row r="50" spans="1:12">
      <c r="A50" s="22">
        <f>IFERROR(IF(INDEX('Open 1'!$A:$F,MATCH('Open 1 Results'!$E50,'Open 1'!$F:$F,0),1)&gt;0,INDEX('Open 1'!$A:$F,MATCH('Open 1 Results'!$E50,'Open 1'!$F:$F,0),1),""),"")</f>
        <v>17</v>
      </c>
      <c r="B50" s="95" t="str">
        <f>IFERROR(IF(INDEX('Open 1'!$A:$F,MATCH('Open 1 Results'!$E50,'Open 1'!$F:$F,0),2)&gt;0,INDEX('Open 1'!$A:$F,MATCH('Open 1 Results'!$E50,'Open 1'!$F:$F,0),2),""),"")</f>
        <v>Kaitilynn Jorgensen</v>
      </c>
      <c r="C50" s="95" t="str">
        <f>IFERROR(IF(INDEX('Open 1'!$A:$F,MATCH('Open 1 Results'!$E50,'Open 1'!$F:$F,0),3)&gt;0,INDEX('Open 1'!$A:$F,MATCH('Open 1 Results'!$E50,'Open 1'!$F:$F,0),3),""),"")</f>
        <v xml:space="preserve">Kitty Dun It </v>
      </c>
      <c r="D50" s="96">
        <f>IFERROR(IF(AND(SMALL('Open 1'!F:F,L50)&gt;1000,SMALL('Open 1'!F:F,L50)&lt;3000),"nt",IF(SMALL('Open 1'!F:F,L50)&gt;3000,"",SMALL('Open 1'!F:F,L50))),"")</f>
        <v>914.74500002000002</v>
      </c>
      <c r="E50" s="132">
        <f>IF(D50="nt",IFERROR(SMALL('Open 1'!F:F,L50),""),IF(D50&gt;3000,"",IFERROR(SMALL('Open 1'!F:F,L50),"")))</f>
        <v>914.74500002000002</v>
      </c>
      <c r="F50" s="97" t="str">
        <f t="shared" si="0"/>
        <v>4D</v>
      </c>
      <c r="G50" s="104" t="str">
        <f t="shared" si="1"/>
        <v/>
      </c>
      <c r="J50" s="188"/>
      <c r="K50" s="141"/>
      <c r="L50" s="68">
        <v>49</v>
      </c>
    </row>
    <row r="51" spans="1:12">
      <c r="A51" s="22">
        <f>IFERROR(IF(INDEX('Open 1'!$A:$F,MATCH('Open 1 Results'!$E51,'Open 1'!$F:$F,0),1)&gt;0,INDEX('Open 1'!$A:$F,MATCH('Open 1 Results'!$E51,'Open 1'!$F:$F,0),1),""),"")</f>
        <v>27</v>
      </c>
      <c r="B51" s="95" t="str">
        <f>IFERROR(IF(INDEX('Open 1'!$A:$F,MATCH('Open 1 Results'!$E51,'Open 1'!$F:$F,0),2)&gt;0,INDEX('Open 1'!$A:$F,MATCH('Open 1 Results'!$E51,'Open 1'!$F:$F,0),2),""),"")</f>
        <v>Nicole VanWell</v>
      </c>
      <c r="C51" s="95" t="str">
        <f>IFERROR(IF(INDEX('Open 1'!$A:$F,MATCH('Open 1 Results'!$E51,'Open 1'!$F:$F,0),3)&gt;0,INDEX('Open 1'!$A:$F,MATCH('Open 1 Results'!$E51,'Open 1'!$F:$F,0),3),""),"")</f>
        <v>Slick Velvet Kat</v>
      </c>
      <c r="D51" s="96">
        <f>IFERROR(IF(AND(SMALL('Open 1'!F:F,L51)&gt;1000,SMALL('Open 1'!F:F,L51)&lt;3000),"nt",IF(SMALL('Open 1'!F:F,L51)&gt;3000,"",SMALL('Open 1'!F:F,L51))),"")</f>
        <v>915.05100003200005</v>
      </c>
      <c r="E51" s="132">
        <f>IF(D51="nt",IFERROR(SMALL('Open 1'!F:F,L51),""),IF(D51&gt;3000,"",IFERROR(SMALL('Open 1'!F:F,L51),"")))</f>
        <v>915.05100003200005</v>
      </c>
      <c r="F51" s="97" t="str">
        <f t="shared" si="0"/>
        <v>4D</v>
      </c>
      <c r="G51" s="104" t="str">
        <f t="shared" si="1"/>
        <v/>
      </c>
      <c r="J51" s="188"/>
      <c r="K51" s="141"/>
      <c r="L51" s="68">
        <v>50</v>
      </c>
    </row>
    <row r="52" spans="1:12">
      <c r="A52" s="22">
        <f>IFERROR(IF(INDEX('Open 1'!$A:$F,MATCH('Open 1 Results'!$E52,'Open 1'!$F:$F,0),1)&gt;0,INDEX('Open 1'!$A:$F,MATCH('Open 1 Results'!$E52,'Open 1'!$F:$F,0),1),""),"")</f>
        <v>68</v>
      </c>
      <c r="B52" s="95" t="str">
        <f>IFERROR(IF(INDEX('Open 1'!$A:$F,MATCH('Open 1 Results'!$E52,'Open 1'!$F:$F,0),2)&gt;0,INDEX('Open 1'!$A:$F,MATCH('Open 1 Results'!$E52,'Open 1'!$F:$F,0),2),""),"")</f>
        <v>Kristine DeBerg</v>
      </c>
      <c r="C52" s="95" t="str">
        <f>IFERROR(IF(INDEX('Open 1'!$A:$F,MATCH('Open 1 Results'!$E52,'Open 1'!$F:$F,0),3)&gt;0,INDEX('Open 1'!$A:$F,MATCH('Open 1 Results'!$E52,'Open 1'!$F:$F,0),3),""),"")</f>
        <v>Chicks Share of Fame</v>
      </c>
      <c r="D52" s="96">
        <f>IFERROR(IF(AND(SMALL('Open 1'!F:F,L52)&gt;1000,SMALL('Open 1'!F:F,L52)&lt;3000),"nt",IF(SMALL('Open 1'!F:F,L52)&gt;3000,"",SMALL('Open 1'!F:F,L52))),"")</f>
        <v>915.06800008100004</v>
      </c>
      <c r="E52" s="132">
        <f>IF(D52="nt",IFERROR(SMALL('Open 1'!F:F,L52),""),IF(D52&gt;3000,"",IFERROR(SMALL('Open 1'!F:F,L52),"")))</f>
        <v>915.06800008100004</v>
      </c>
      <c r="G52" s="104" t="str">
        <f t="shared" si="1"/>
        <v/>
      </c>
      <c r="J52" s="188"/>
      <c r="K52" s="141"/>
      <c r="L52" s="68">
        <v>51</v>
      </c>
    </row>
    <row r="53" spans="1:12">
      <c r="A53" s="22">
        <f>IFERROR(IF(INDEX('Open 1'!$A:$F,MATCH('Open 1 Results'!$E53,'Open 1'!$F:$F,0),1)&gt;0,INDEX('Open 1'!$A:$F,MATCH('Open 1 Results'!$E53,'Open 1'!$F:$F,0),1),""),"")</f>
        <v>23</v>
      </c>
      <c r="B53" s="95" t="str">
        <f>IFERROR(IF(INDEX('Open 1'!$A:$F,MATCH('Open 1 Results'!$E53,'Open 1'!$F:$F,0),2)&gt;0,INDEX('Open 1'!$A:$F,MATCH('Open 1 Results'!$E53,'Open 1'!$F:$F,0),2),""),"")</f>
        <v>Andrea Hansen</v>
      </c>
      <c r="C53" s="95" t="str">
        <f>IFERROR(IF(INDEX('Open 1'!$A:$F,MATCH('Open 1 Results'!$E53,'Open 1'!$F:$F,0),3)&gt;0,INDEX('Open 1'!$A:$F,MATCH('Open 1 Results'!$E53,'Open 1'!$F:$F,0),3),""),"")</f>
        <v>Betty</v>
      </c>
      <c r="D53" s="96">
        <f>IFERROR(IF(AND(SMALL('Open 1'!F:F,L53)&gt;1000,SMALL('Open 1'!F:F,L53)&lt;3000),"nt",IF(SMALL('Open 1'!F:F,L53)&gt;3000,"",SMALL('Open 1'!F:F,L53))),"")</f>
        <v>915.08800002700002</v>
      </c>
      <c r="E53" s="132">
        <f>IF(D53="nt",IFERROR(SMALL('Open 1'!F:F,L53),""),IF(D53&gt;3000,"",IFERROR(SMALL('Open 1'!F:F,L53),"")))</f>
        <v>915.08800002700002</v>
      </c>
      <c r="G53" s="104" t="str">
        <f t="shared" si="1"/>
        <v/>
      </c>
      <c r="J53" s="188"/>
      <c r="K53" s="141"/>
      <c r="L53" s="68">
        <v>52</v>
      </c>
    </row>
    <row r="54" spans="1:12">
      <c r="A54" s="22">
        <f>IFERROR(IF(INDEX('Open 1'!$A:$F,MATCH('Open 1 Results'!$E54,'Open 1'!$F:$F,0),1)&gt;0,INDEX('Open 1'!$A:$F,MATCH('Open 1 Results'!$E54,'Open 1'!$F:$F,0),1),""),"")</f>
        <v>7</v>
      </c>
      <c r="B54" s="95" t="str">
        <f>IFERROR(IF(INDEX('Open 1'!$A:$F,MATCH('Open 1 Results'!$E54,'Open 1'!$F:$F,0),2)&gt;0,INDEX('Open 1'!$A:$F,MATCH('Open 1 Results'!$E54,'Open 1'!$F:$F,0),2),""),"")</f>
        <v>Lily Kenny</v>
      </c>
      <c r="C54" s="95" t="str">
        <f>IFERROR(IF(INDEX('Open 1'!$A:$F,MATCH('Open 1 Results'!$E54,'Open 1'!$F:$F,0),3)&gt;0,INDEX('Open 1'!$A:$F,MATCH('Open 1 Results'!$E54,'Open 1'!$F:$F,0),3),""),"")</f>
        <v>Alive with Trouble ( Soldier)</v>
      </c>
      <c r="D54" s="96">
        <f>IFERROR(IF(AND(SMALL('Open 1'!F:F,L54)&gt;1000,SMALL('Open 1'!F:F,L54)&lt;3000),"nt",IF(SMALL('Open 1'!F:F,L54)&gt;3000,"",SMALL('Open 1'!F:F,L54))),"")</f>
        <v>915.19400000799999</v>
      </c>
      <c r="E54" s="132">
        <f>IF(D54="nt",IFERROR(SMALL('Open 1'!F:F,L54),""),IF(D54&gt;3000,"",IFERROR(SMALL('Open 1'!F:F,L54),"")))</f>
        <v>915.19400000799999</v>
      </c>
      <c r="G54" s="104" t="str">
        <f t="shared" si="1"/>
        <v/>
      </c>
      <c r="J54" s="188" t="s">
        <v>249</v>
      </c>
      <c r="K54" s="141"/>
      <c r="L54" s="68">
        <v>53</v>
      </c>
    </row>
    <row r="55" spans="1:12">
      <c r="A55" s="22">
        <f>IFERROR(IF(INDEX('Open 1'!$A:$F,MATCH('Open 1 Results'!$E55,'Open 1'!$F:$F,0),1)&gt;0,INDEX('Open 1'!$A:$F,MATCH('Open 1 Results'!$E55,'Open 1'!$F:$F,0),1),""),"")</f>
        <v>44</v>
      </c>
      <c r="B55" s="95" t="str">
        <f>IFERROR(IF(INDEX('Open 1'!$A:$F,MATCH('Open 1 Results'!$E55,'Open 1'!$F:$F,0),2)&gt;0,INDEX('Open 1'!$A:$F,MATCH('Open 1 Results'!$E55,'Open 1'!$F:$F,0),2),""),"")</f>
        <v>Megan Thorson</v>
      </c>
      <c r="C55" s="95" t="str">
        <f>IFERROR(IF(INDEX('Open 1'!$A:$F,MATCH('Open 1 Results'!$E55,'Open 1'!$F:$F,0),3)&gt;0,INDEX('Open 1'!$A:$F,MATCH('Open 1 Results'!$E55,'Open 1'!$F:$F,0),3),""),"")</f>
        <v>MMT Rox My World</v>
      </c>
      <c r="D55" s="96">
        <f>IFERROR(IF(AND(SMALL('Open 1'!F:F,L55)&gt;1000,SMALL('Open 1'!F:F,L55)&lt;3000),"nt",IF(SMALL('Open 1'!F:F,L55)&gt;3000,"",SMALL('Open 1'!F:F,L55))),"")</f>
        <v>915.58500005200005</v>
      </c>
      <c r="E55" s="132">
        <f>IF(D55="nt",IFERROR(SMALL('Open 1'!F:F,L55),""),IF(D55&gt;3000,"",IFERROR(SMALL('Open 1'!F:F,L55),"")))</f>
        <v>915.58500005200005</v>
      </c>
      <c r="G55" s="104" t="str">
        <f t="shared" si="1"/>
        <v/>
      </c>
      <c r="J55" s="188"/>
      <c r="K55" s="141"/>
      <c r="L55" s="68">
        <v>54</v>
      </c>
    </row>
    <row r="56" spans="1:12">
      <c r="A56" s="22">
        <f>IFERROR(IF(INDEX('Open 1'!$A:$F,MATCH('Open 1 Results'!$E56,'Open 1'!$F:$F,0),1)&gt;0,INDEX('Open 1'!$A:$F,MATCH('Open 1 Results'!$E56,'Open 1'!$F:$F,0),1),""),"")</f>
        <v>34</v>
      </c>
      <c r="B56" s="95" t="str">
        <f>IFERROR(IF(INDEX('Open 1'!$A:$F,MATCH('Open 1 Results'!$E56,'Open 1'!$F:$F,0),2)&gt;0,INDEX('Open 1'!$A:$F,MATCH('Open 1 Results'!$E56,'Open 1'!$F:$F,0),2),""),"")</f>
        <v>Jackie Feikema</v>
      </c>
      <c r="C56" s="95" t="str">
        <f>IFERROR(IF(INDEX('Open 1'!$A:$F,MATCH('Open 1 Results'!$E56,'Open 1'!$F:$F,0),3)&gt;0,INDEX('Open 1'!$A:$F,MATCH('Open 1 Results'!$E56,'Open 1'!$F:$F,0),3),""),"")</f>
        <v>Marked With Chrome</v>
      </c>
      <c r="D56" s="96">
        <f>IFERROR(IF(AND(SMALL('Open 1'!F:F,L56)&gt;1000,SMALL('Open 1'!F:F,L56)&lt;3000),"nt",IF(SMALL('Open 1'!F:F,L56)&gt;3000,"",SMALL('Open 1'!F:F,L56))),"")</f>
        <v>916.10100004000003</v>
      </c>
      <c r="E56" s="132">
        <f>IF(D56="nt",IFERROR(SMALL('Open 1'!F:F,L56),""),IF(D56&gt;3000,"",IFERROR(SMALL('Open 1'!F:F,L56),"")))</f>
        <v>916.10100004000003</v>
      </c>
      <c r="G56" s="104" t="str">
        <f t="shared" si="1"/>
        <v/>
      </c>
      <c r="J56" s="188"/>
      <c r="K56" s="141"/>
      <c r="L56" s="68">
        <v>55</v>
      </c>
    </row>
    <row r="57" spans="1:12">
      <c r="A57" s="22">
        <f>IFERROR(IF(INDEX('Open 1'!$A:$F,MATCH('Open 1 Results'!$E57,'Open 1'!$F:$F,0),1)&gt;0,INDEX('Open 1'!$A:$F,MATCH('Open 1 Results'!$E57,'Open 1'!$F:$F,0),1),""),"")</f>
        <v>11</v>
      </c>
      <c r="B57" s="95" t="str">
        <f>IFERROR(IF(INDEX('Open 1'!$A:$F,MATCH('Open 1 Results'!$E57,'Open 1'!$F:$F,0),2)&gt;0,INDEX('Open 1'!$A:$F,MATCH('Open 1 Results'!$E57,'Open 1'!$F:$F,0),2),""),"")</f>
        <v>Mike Boomgarden</v>
      </c>
      <c r="C57" s="95" t="str">
        <f>IFERROR(IF(INDEX('Open 1'!$A:$F,MATCH('Open 1 Results'!$E57,'Open 1'!$F:$F,0),3)&gt;0,INDEX('Open 1'!$A:$F,MATCH('Open 1 Results'!$E57,'Open 1'!$F:$F,0),3),""),"")</f>
        <v>Rook</v>
      </c>
      <c r="D57" s="96">
        <f>IFERROR(IF(AND(SMALL('Open 1'!F:F,L57)&gt;1000,SMALL('Open 1'!F:F,L57)&lt;3000),"nt",IF(SMALL('Open 1'!F:F,L57)&gt;3000,"",SMALL('Open 1'!F:F,L57))),"")</f>
        <v>917.29500001299994</v>
      </c>
      <c r="E57" s="132">
        <f>IF(D57="nt",IFERROR(SMALL('Open 1'!F:F,L57),""),IF(D57&gt;3000,"",IFERROR(SMALL('Open 1'!F:F,L57),"")))</f>
        <v>917.29500001299994</v>
      </c>
      <c r="G57" s="104" t="str">
        <f t="shared" si="1"/>
        <v/>
      </c>
      <c r="J57" s="188"/>
      <c r="K57" s="141"/>
      <c r="L57" s="68">
        <v>56</v>
      </c>
    </row>
    <row r="58" spans="1:12">
      <c r="A58" s="22">
        <f>IFERROR(IF(INDEX('Open 1'!$A:$F,MATCH('Open 1 Results'!$E58,'Open 1'!$F:$F,0),1)&gt;0,INDEX('Open 1'!$A:$F,MATCH('Open 1 Results'!$E58,'Open 1'!$F:$F,0),1),""),"")</f>
        <v>16</v>
      </c>
      <c r="B58" s="95" t="str">
        <f>IFERROR(IF(INDEX('Open 1'!$A:$F,MATCH('Open 1 Results'!$E58,'Open 1'!$F:$F,0),2)&gt;0,INDEX('Open 1'!$A:$F,MATCH('Open 1 Results'!$E58,'Open 1'!$F:$F,0),2),""),"")</f>
        <v>Natalie Hieronimus</v>
      </c>
      <c r="C58" s="95" t="str">
        <f>IFERROR(IF(INDEX('Open 1'!$A:$F,MATCH('Open 1 Results'!$E58,'Open 1'!$F:$F,0),3)&gt;0,INDEX('Open 1'!$A:$F,MATCH('Open 1 Results'!$E58,'Open 1'!$F:$F,0),3),""),"")</f>
        <v>SH Chrome Ta Fame</v>
      </c>
      <c r="D58" s="96" t="str">
        <f>IFERROR(IF(AND(SMALL('Open 1'!F:F,L58)&gt;1000,SMALL('Open 1'!F:F,L58)&lt;3000),"nt",IF(SMALL('Open 1'!F:F,L58)&gt;3000,"",SMALL('Open 1'!F:F,L58))),"")</f>
        <v>nt</v>
      </c>
      <c r="E58" s="132">
        <f>IF(D58="nt",IFERROR(SMALL('Open 1'!F:F,L58),""),IF(D58&gt;3000,"",IFERROR(SMALL('Open 1'!F:F,L58),"")))</f>
        <v>1000.000000019</v>
      </c>
      <c r="G58" s="104" t="str">
        <f t="shared" si="1"/>
        <v/>
      </c>
      <c r="J58" s="188"/>
      <c r="K58" s="141"/>
      <c r="L58" s="68">
        <v>57</v>
      </c>
    </row>
    <row r="59" spans="1:12">
      <c r="A59" s="22">
        <f>IFERROR(IF(INDEX('Open 1'!$A:$F,MATCH('Open 1 Results'!$E59,'Open 1'!$F:$F,0),1)&gt;0,INDEX('Open 1'!$A:$F,MATCH('Open 1 Results'!$E59,'Open 1'!$F:$F,0),1),""),"")</f>
        <v>31</v>
      </c>
      <c r="B59" s="95" t="str">
        <f>IFERROR(IF(INDEX('Open 1'!$A:$F,MATCH('Open 1 Results'!$E59,'Open 1'!$F:$F,0),2)&gt;0,INDEX('Open 1'!$A:$F,MATCH('Open 1 Results'!$E59,'Open 1'!$F:$F,0),2),""),"")</f>
        <v>Candice Aamot</v>
      </c>
      <c r="C59" s="95" t="str">
        <f>IFERROR(IF(INDEX('Open 1'!$A:$F,MATCH('Open 1 Results'!$E59,'Open 1'!$F:$F,0),3)&gt;0,INDEX('Open 1'!$A:$F,MATCH('Open 1 Results'!$E59,'Open 1'!$F:$F,0),3),""),"")</f>
        <v>Streaker</v>
      </c>
      <c r="D59" s="96" t="str">
        <f>IFERROR(IF(AND(SMALL('Open 1'!F:F,L59)&gt;1000,SMALL('Open 1'!F:F,L59)&lt;3000),"nt",IF(SMALL('Open 1'!F:F,L59)&gt;3000,"",SMALL('Open 1'!F:F,L59))),"")</f>
        <v>nt</v>
      </c>
      <c r="E59" s="132">
        <f>IF(D59="nt",IFERROR(SMALL('Open 1'!F:F,L59),""),IF(D59&gt;3000,"",IFERROR(SMALL('Open 1'!F:F,L59),"")))</f>
        <v>1000.0000000369999</v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V286"/>
  <sheetViews>
    <sheetView topLeftCell="B1" zoomScale="80" zoomScaleNormal="80" workbookViewId="0">
      <pane ySplit="1" topLeftCell="A2" activePane="bottomLeft" state="frozen"/>
      <selection pane="bottomLeft" activeCell="K20" sqref="K20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8" width="9.140625" style="21" hidden="1" customWidth="1"/>
    <col min="49" max="78" width="9.140625" style="21" customWidth="1"/>
    <col min="79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Candice Aamot</v>
      </c>
      <c r="C2" s="23" t="str">
        <f>IFERROR(Draw!P2,"")</f>
        <v>Streaker</v>
      </c>
      <c r="D2" s="96" t="str">
        <f>IF(OR(A2="oco",A2="oy"),VLOOKUP(CONCATENATE(B2,C2),'Open 1'!T:V,2,FALSE),"")</f>
        <v>nt</v>
      </c>
      <c r="E2" s="106">
        <v>1.0000000000000001E-9</v>
      </c>
      <c r="F2" s="107">
        <f>IFERROR(IF(D2="scratch",3000+E2,IF(D2="nt",1000+E2,IF((D2+E2)&gt;5,D2+E2,""))),"")</f>
        <v>1000.000000001</v>
      </c>
      <c r="G2" s="201" t="str">
        <f>IF(OR(AND(D2&gt;1,D2&lt;1050),D2="nt",D2="",D2="scratch"),"","Not valid")</f>
        <v/>
      </c>
      <c r="S2" s="21" t="str">
        <f>CONCATENATE(B2,C2)</f>
        <v>Candice AamotStreaker</v>
      </c>
      <c r="T2" s="109" t="str">
        <f t="shared" ref="T2:T33" si="0">D2</f>
        <v>nt</v>
      </c>
      <c r="V2" s="3" t="str">
        <f>IFERROR(VLOOKUP(Youth!F2,$AC$3:$AD$7,2,TRUE),"")</f>
        <v>4D</v>
      </c>
      <c r="W2" s="8" t="str">
        <f>IFERROR(IF(V2=$W$1,Youth!F2,""),"")</f>
        <v/>
      </c>
      <c r="X2" s="8" t="str">
        <f>IFERROR(IF(V2=$X$1,Youth!F2,""),"")</f>
        <v/>
      </c>
      <c r="Y2" s="8" t="str">
        <f>IFERROR(IF(V2=$Y$1,Youth!F2,""),"")</f>
        <v/>
      </c>
      <c r="Z2" s="8">
        <f>IFERROR(IF($V2=$Z$1,Youth!F2,""),"")</f>
        <v>1000.000000001</v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0.3</v>
      </c>
      <c r="AR2" s="172">
        <v>0.2</v>
      </c>
      <c r="AS2" s="172">
        <v>0.15</v>
      </c>
      <c r="AT2" s="172">
        <v>0.1</v>
      </c>
      <c r="AU2" s="172">
        <v>0.7</v>
      </c>
    </row>
    <row r="3" spans="1:47" ht="16.5" thickBot="1">
      <c r="A3" s="25" t="str">
        <f>IF(B3="","",Draw!N3)</f>
        <v>oco</v>
      </c>
      <c r="B3" s="27" t="str">
        <f>IFERROR(Draw!O3,"")</f>
        <v>Megan Rosendahl</v>
      </c>
      <c r="C3" s="27" t="str">
        <f>IFERROR(Draw!P3,"")</f>
        <v>A Dash of Jerzy Cash</v>
      </c>
      <c r="D3" s="96">
        <f>IF(OR(A3="oco",A3="oy"),VLOOKUP(CONCATENATE(B3,C3),'Open 1'!T:V,2,FALSE),"")</f>
        <v>15.192</v>
      </c>
      <c r="E3" s="106">
        <v>2.0000000000000001E-9</v>
      </c>
      <c r="F3" s="107">
        <f t="shared" ref="F3:F66" si="1">IFERROR(IF(D3="scratch",3000+E3,IF(D3="nt",1000+E3,IF((D3+E3)&gt;5,D3+E3,""))),"")</f>
        <v>15.192000002</v>
      </c>
      <c r="G3" s="201" t="str">
        <f t="shared" ref="G3:G66" si="2">IF(OR(AND(D3&gt;1,D3&lt;1050),D3="nt",D3="",D3="scratch"),"","Not valid")</f>
        <v/>
      </c>
      <c r="H3" s="260" t="s">
        <v>80</v>
      </c>
      <c r="I3" s="261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Megan RosendahlA Dash of Jerzy Cash</v>
      </c>
      <c r="T3" s="109">
        <f t="shared" si="0"/>
        <v>15.192</v>
      </c>
      <c r="V3" s="3" t="str">
        <f>IFERROR(VLOOKUP(Youth!F3,$AC$3:$AD$7,2,TRUE),"")</f>
        <v>3D</v>
      </c>
      <c r="W3" s="8" t="str">
        <f>IFERROR(IF(V3=$W$1,Youth!F3,""),"")</f>
        <v/>
      </c>
      <c r="X3" s="8" t="str">
        <f>IFERROR(IF(V3=$X$1,Youth!F3,""),"")</f>
        <v/>
      </c>
      <c r="Y3" s="8">
        <f>IFERROR(IF(V3=$Y$1,Youth!F3,""),"")</f>
        <v>15.192000002</v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14.09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Aleah Marco</v>
      </c>
      <c r="C4" s="27" t="str">
        <f>IFERROR(Draw!P4,"")</f>
        <v>Premier Passum</v>
      </c>
      <c r="D4" s="96">
        <f>IF(OR(A4="oco",A4="oy"),VLOOKUP(CONCATENATE(B4,C4),'Open 1'!T:V,2,FALSE),"")</f>
        <v>15.907999999999999</v>
      </c>
      <c r="E4" s="106">
        <v>3E-9</v>
      </c>
      <c r="F4" s="107">
        <f t="shared" si="1"/>
        <v>15.908000003</v>
      </c>
      <c r="G4" s="201" t="str">
        <f t="shared" si="2"/>
        <v/>
      </c>
      <c r="H4" s="24"/>
      <c r="L4" s="262" t="s">
        <v>3</v>
      </c>
      <c r="M4" s="46" t="str">
        <f>Youth!AD10</f>
        <v>1st</v>
      </c>
      <c r="N4" s="29" t="str">
        <f>Youth!AE10</f>
        <v>Cami Wolles</v>
      </c>
      <c r="O4" s="29" t="str">
        <f>Youth!AF10</f>
        <v>Nellie</v>
      </c>
      <c r="P4" s="47">
        <f>Youth!AG10</f>
        <v>14.090000004</v>
      </c>
      <c r="Q4" s="181">
        <f>AH10</f>
        <v>61.199999999999996</v>
      </c>
      <c r="S4" s="21" t="str">
        <f t="shared" si="3"/>
        <v>Aleah MarcoPremier Passum</v>
      </c>
      <c r="T4" s="109">
        <f t="shared" si="0"/>
        <v>15.907999999999999</v>
      </c>
      <c r="V4" s="3" t="str">
        <f>IFERROR(VLOOKUP(Youth!F4,$AC$3:$AD$7,2,TRUE),"")</f>
        <v>3D</v>
      </c>
      <c r="W4" s="8" t="str">
        <f>IFERROR(IF(V4=$W$1,Youth!F4,""),"")</f>
        <v/>
      </c>
      <c r="X4" s="8" t="str">
        <f>IFERROR(IF(V4=$X$1,Youth!F4,""),"")</f>
        <v/>
      </c>
      <c r="Y4" s="8">
        <f>IFERROR(IF(V4=$Y$1,Youth!F4,""),"")</f>
        <v>15.908000003</v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14.59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61.199999999999996</v>
      </c>
      <c r="AR4" s="177">
        <f t="shared" si="4"/>
        <v>40.799999999999997</v>
      </c>
      <c r="AS4" s="177">
        <f t="shared" si="4"/>
        <v>30.599999999999998</v>
      </c>
      <c r="AT4" s="177">
        <f t="shared" si="4"/>
        <v>20.399999999999999</v>
      </c>
    </row>
    <row r="5" spans="1:47" ht="16.5" thickBot="1">
      <c r="A5" s="25" t="str">
        <f>IF(B5="","",Draw!N5)</f>
        <v>oco</v>
      </c>
      <c r="B5" s="27" t="str">
        <f>IFERROR(Draw!O5,"")</f>
        <v>Cami Wolles</v>
      </c>
      <c r="C5" s="27" t="str">
        <f>IFERROR(Draw!P5,"")</f>
        <v>Nellie</v>
      </c>
      <c r="D5" s="96">
        <f>IF(OR(A5="oco",A5="oy"),VLOOKUP(CONCATENATE(B5,C5),'Open 1'!T:V,2,FALSE),"")</f>
        <v>14.09</v>
      </c>
      <c r="E5" s="106">
        <v>4.0000000000000002E-9</v>
      </c>
      <c r="F5" s="107">
        <f t="shared" si="1"/>
        <v>14.090000004</v>
      </c>
      <c r="G5" s="201" t="str">
        <f t="shared" si="2"/>
        <v/>
      </c>
      <c r="I5" s="93" t="s">
        <v>3</v>
      </c>
      <c r="J5" s="88">
        <f>Youth!AC3</f>
        <v>14.09</v>
      </c>
      <c r="L5" s="263"/>
      <c r="M5" s="37" t="str">
        <f>IF($J$13&lt;"2","",Youth!AD11)</f>
        <v>2nd</v>
      </c>
      <c r="N5" s="26" t="str">
        <f>IF(M5="","",Youth!AE11)</f>
        <v>Makayla Cross</v>
      </c>
      <c r="O5" s="26" t="str">
        <f>IF(N5="","",Youth!AF11)</f>
        <v>Aishas Burnin Love</v>
      </c>
      <c r="P5" s="48">
        <f>IF(O5="","",Youth!AG11)</f>
        <v>14.220000008000001</v>
      </c>
      <c r="Q5" s="182">
        <f>AH11</f>
        <v>40.800000000000004</v>
      </c>
      <c r="S5" s="21" t="str">
        <f t="shared" si="3"/>
        <v>Cami WollesNellie</v>
      </c>
      <c r="T5" s="109">
        <f t="shared" si="0"/>
        <v>14.09</v>
      </c>
      <c r="V5" s="3" t="str">
        <f>IFERROR(VLOOKUP(Youth!F5,$AC$3:$AD$7,2,TRUE),"")</f>
        <v>1D</v>
      </c>
      <c r="W5" s="8">
        <f>IFERROR(IF(V5=$W$1,Youth!F5,""),"")</f>
        <v>14.090000004</v>
      </c>
      <c r="X5" s="8" t="str">
        <f>IFERROR(IF(V5=$X$1,Youth!F5,""),"")</f>
        <v/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15.09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40.800000000000004</v>
      </c>
      <c r="AR5" s="177">
        <f t="shared" si="4"/>
        <v>27.200000000000003</v>
      </c>
      <c r="AS5" s="177">
        <f t="shared" si="4"/>
        <v>20.400000000000002</v>
      </c>
      <c r="AT5" s="177">
        <f t="shared" si="4"/>
        <v>13.600000000000001</v>
      </c>
    </row>
    <row r="6" spans="1:47" ht="16.5" thickBot="1">
      <c r="A6" s="25" t="str">
        <f>IF(B6="","",Draw!N6)</f>
        <v>oco</v>
      </c>
      <c r="B6" s="27" t="str">
        <f>IFERROR(Draw!O6,"")</f>
        <v>Andrea Hansen</v>
      </c>
      <c r="C6" s="27" t="str">
        <f>IFERROR(Draw!P6,"")</f>
        <v>Betty</v>
      </c>
      <c r="D6" s="96">
        <f>IF(OR(A6="oco",A6="oy"),VLOOKUP(CONCATENATE(B6,C6),'Open 1'!T:V,2,FALSE),"")</f>
        <v>915.08799999999997</v>
      </c>
      <c r="E6" s="106">
        <v>5.0000000000000001E-9</v>
      </c>
      <c r="F6" s="107">
        <f t="shared" si="1"/>
        <v>915.08800000499991</v>
      </c>
      <c r="G6" s="201" t="str">
        <f t="shared" si="2"/>
        <v/>
      </c>
      <c r="I6" s="54" t="s">
        <v>4</v>
      </c>
      <c r="J6" s="88">
        <f>Youth!AC4</f>
        <v>14.59</v>
      </c>
      <c r="L6" s="263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Andrea HansenBetty</v>
      </c>
      <c r="T6" s="109">
        <f t="shared" si="0"/>
        <v>915.08799999999997</v>
      </c>
      <c r="V6" s="3" t="str">
        <f>IFERROR(VLOOKUP(Youth!F6,$AC$3:$AD$7,2,TRUE),"")</f>
        <v>4D</v>
      </c>
      <c r="W6" s="8" t="str">
        <f>IFERROR(IF(V6=$W$1,Youth!F6,""),"")</f>
        <v/>
      </c>
      <c r="X6" s="8" t="str">
        <f>IFERROR(IF(V6=$X$1,Youth!F6,""),"")</f>
        <v/>
      </c>
      <c r="Y6" s="8" t="str">
        <f>IFERROR(IF(V6=$Y$1,Youth!F6,""),"")</f>
        <v/>
      </c>
      <c r="Z6" s="8">
        <f>IFERROR(IF($V6=$Z$1,Youth!F6,""),"")</f>
        <v>915.08800000499991</v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16.09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15.09</v>
      </c>
      <c r="L7" s="263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oco</v>
      </c>
      <c r="B8" s="27" t="str">
        <f>IFERROR(Draw!O8,"")</f>
        <v>Jackie Feikema</v>
      </c>
      <c r="C8" s="27" t="str">
        <f>IFERROR(Draw!P8,"")</f>
        <v>Marked With Chrome</v>
      </c>
      <c r="D8" s="96">
        <f>IF(OR(A8="oco",A8="oy"),VLOOKUP(CONCATENATE(B8,C8),'Open 1'!T:V,2,FALSE),"")</f>
        <v>916.101</v>
      </c>
      <c r="E8" s="106">
        <v>6.9999999999999998E-9</v>
      </c>
      <c r="F8" s="107">
        <f t="shared" si="1"/>
        <v>916.10100000700004</v>
      </c>
      <c r="G8" s="201" t="str">
        <f t="shared" si="2"/>
        <v/>
      </c>
      <c r="I8" s="92" t="s">
        <v>6</v>
      </c>
      <c r="J8" s="89">
        <f>Youth!AC6</f>
        <v>16.09</v>
      </c>
      <c r="L8" s="264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Jackie FeikemaMarked With Chrome</v>
      </c>
      <c r="T8" s="109">
        <f t="shared" si="0"/>
        <v>916.101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916.10100000700004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oco</v>
      </c>
      <c r="B9" s="27" t="str">
        <f>IFERROR(Draw!O9,"")</f>
        <v>Makayla Cross</v>
      </c>
      <c r="C9" s="27" t="str">
        <f>IFERROR(Draw!P9,"")</f>
        <v>Aishas Burnin Love</v>
      </c>
      <c r="D9" s="96">
        <f>IF(OR(A9="oco",A9="oy"),VLOOKUP(CONCATENATE(B9,C9),'Open 1'!T:V,2,FALSE),"")</f>
        <v>14.22</v>
      </c>
      <c r="E9" s="106">
        <v>8.0000000000000005E-9</v>
      </c>
      <c r="F9" s="107">
        <f t="shared" si="1"/>
        <v>14.220000008000001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Makayla CrossAishas Burnin Love</v>
      </c>
      <c r="T9" s="109">
        <f t="shared" si="0"/>
        <v>14.22</v>
      </c>
      <c r="V9" s="3" t="str">
        <f>IFERROR(VLOOKUP(Youth!F9,$AC$3:$AD$7,2,TRUE),"")</f>
        <v>1D</v>
      </c>
      <c r="W9" s="8">
        <f>IFERROR(IF(V9=$W$1,Youth!F9,""),"")</f>
        <v>14.220000008000001</v>
      </c>
      <c r="X9" s="8" t="str">
        <f>IFERROR(IF(V9=$X$1,Youth!F9,""),"")</f>
        <v/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102</v>
      </c>
      <c r="AR9" s="176">
        <f>AR2*$AO$12</f>
        <v>68</v>
      </c>
      <c r="AS9" s="176">
        <f>AS2*$AO$12</f>
        <v>51</v>
      </c>
      <c r="AT9" s="176">
        <f>AT2*$AO$12</f>
        <v>34</v>
      </c>
    </row>
    <row r="10" spans="1:47" ht="16.5" thickBot="1">
      <c r="A10" s="25" t="str">
        <f>IF(B10="","",Draw!N10)</f>
        <v>oco</v>
      </c>
      <c r="B10" s="27" t="str">
        <f>IFERROR(Draw!O10,"")</f>
        <v>Joslyn Deknikker</v>
      </c>
      <c r="C10" s="27" t="str">
        <f>IFERROR(Draw!P10,"")</f>
        <v>Chexies Smoke</v>
      </c>
      <c r="D10" s="96">
        <f>IF(OR(A10="oco",A10="oy"),VLOOKUP(CONCATENATE(B10,C10),'Open 1'!T:V,2,FALSE),"")</f>
        <v>14.696999999999999</v>
      </c>
      <c r="E10" s="106">
        <v>8.9999999999999995E-9</v>
      </c>
      <c r="F10" s="107">
        <f t="shared" si="1"/>
        <v>14.697000009</v>
      </c>
      <c r="G10" s="201" t="str">
        <f t="shared" si="2"/>
        <v/>
      </c>
      <c r="K10" s="57">
        <v>1</v>
      </c>
      <c r="L10" s="265" t="s">
        <v>4</v>
      </c>
      <c r="M10" s="46" t="str">
        <f>Youth!AD16</f>
        <v>1st</v>
      </c>
      <c r="N10" s="29" t="str">
        <f>Youth!AE16</f>
        <v>Joslyn Deknikker</v>
      </c>
      <c r="O10" s="29" t="str">
        <f>Youth!AF16</f>
        <v>Chexies Smoke</v>
      </c>
      <c r="P10" s="47">
        <f>Youth!AG16</f>
        <v>14.697000009</v>
      </c>
      <c r="Q10" s="181">
        <f>AH16</f>
        <v>40.799999999999997</v>
      </c>
      <c r="S10" s="21" t="str">
        <f t="shared" si="3"/>
        <v>Joslyn DeknikkerChexies Smoke</v>
      </c>
      <c r="T10" s="109">
        <f t="shared" si="0"/>
        <v>14.696999999999999</v>
      </c>
      <c r="V10" s="3" t="str">
        <f>IFERROR(VLOOKUP(Youth!F10,$AC$3:$AD$7,2,TRUE),"")</f>
        <v>2D</v>
      </c>
      <c r="W10" s="8" t="str">
        <f>IFERROR(IF(V10=$W$1,Youth!F10,""),"")</f>
        <v/>
      </c>
      <c r="X10" s="8">
        <f>IFERROR(IF(V10=$X$1,Youth!F10,""),"")</f>
        <v>14.697000009</v>
      </c>
      <c r="Y10" s="8" t="str">
        <f>IFERROR(IF(V10=$Y$1,Youth!F10,""),"")</f>
        <v/>
      </c>
      <c r="Z10" s="8" t="str">
        <f>IFERROR(IF($V10=$Z$1,Youth!F10,""),"")</f>
        <v/>
      </c>
      <c r="AA10" s="8" t="str">
        <f>IFERROR(IF(V10=$AA$1,Youth!F10,""),"")</f>
        <v/>
      </c>
      <c r="AB10" s="18" t="s">
        <v>20</v>
      </c>
      <c r="AC10" s="283" t="s">
        <v>3</v>
      </c>
      <c r="AD10" s="73" t="str">
        <f>IF(AE10="-","-",AB10)</f>
        <v>1st</v>
      </c>
      <c r="AE10" s="73" t="str">
        <f>IFERROR(INDEX(Youth!B:F,MATCH(AG10,Youth!$F:$F,0),1),"-")</f>
        <v>Cami Wolles</v>
      </c>
      <c r="AF10" s="73" t="str">
        <f>IFERROR(INDEX(Youth!$B:$F,MATCH(AG10,Youth!$F:$F,0),2),"-")</f>
        <v>Nellie</v>
      </c>
      <c r="AG10" s="8">
        <f>IFERROR(SMALL($W$2:$W$286,AI10),"-")</f>
        <v>14.090000004</v>
      </c>
      <c r="AH10" s="178">
        <f>IF(AQ4&gt;0,AQ4,"")</f>
        <v>61.199999999999996</v>
      </c>
      <c r="AI10">
        <v>1</v>
      </c>
      <c r="AJ10"/>
      <c r="AK10"/>
      <c r="AL10" s="270" t="s">
        <v>75</v>
      </c>
      <c r="AM10" s="270"/>
      <c r="AN10" s="270"/>
      <c r="AO10" s="21">
        <f>J11</f>
        <v>17</v>
      </c>
    </row>
    <row r="11" spans="1:47" ht="16.5" thickBot="1">
      <c r="A11" s="25" t="str">
        <f>IF(B11="","",Draw!N11)</f>
        <v>oco</v>
      </c>
      <c r="B11" s="27" t="str">
        <f>IFERROR(Draw!O11,"")</f>
        <v>Hayden Seitz</v>
      </c>
      <c r="C11" s="27" t="str">
        <f>IFERROR(Draw!P11,"")</f>
        <v>Jitter</v>
      </c>
      <c r="D11" s="96">
        <f>IF(OR(A11="oco",A11="oy"),VLOOKUP(CONCATENATE(B11,C11),'Open 1'!T:V,2,FALSE),"")</f>
        <v>15.1</v>
      </c>
      <c r="E11" s="106">
        <v>1E-8</v>
      </c>
      <c r="F11" s="107">
        <f t="shared" si="1"/>
        <v>15.10000001</v>
      </c>
      <c r="G11" s="201" t="str">
        <f t="shared" si="2"/>
        <v/>
      </c>
      <c r="H11" s="260" t="s">
        <v>77</v>
      </c>
      <c r="I11" s="261"/>
      <c r="J11" s="219">
        <f>COUNTIF(Youth!$A$2:$A$286,"&gt;0")+COUNTIF(Youth!$A$2:$A$286,"oco")+COUNTIF(Youth!$A$2:$A$286,"oy")-COUNTIF(D2:D286,"scratch")</f>
        <v>17</v>
      </c>
      <c r="K11" s="58">
        <v>2</v>
      </c>
      <c r="L11" s="266"/>
      <c r="M11" s="37" t="str">
        <f>IF($J$13&lt;"2","",Youth!AD17)</f>
        <v>2nd</v>
      </c>
      <c r="N11" s="26" t="str">
        <f>IF(M11="","",Youth!AE17)</f>
        <v>Kendall Gillen</v>
      </c>
      <c r="O11" s="26" t="str">
        <f>IF(N11="","",Youth!AF17)</f>
        <v>Blue Eyes</v>
      </c>
      <c r="P11" s="48">
        <f>IF(O11="","",Youth!AG17)</f>
        <v>15.035000014</v>
      </c>
      <c r="Q11" s="182">
        <f>AH17</f>
        <v>27.200000000000003</v>
      </c>
      <c r="S11" s="21" t="str">
        <f t="shared" si="3"/>
        <v>Hayden SeitzJitter</v>
      </c>
      <c r="T11" s="109">
        <f t="shared" si="0"/>
        <v>15.1</v>
      </c>
      <c r="V11" s="3" t="str">
        <f>IFERROR(VLOOKUP(Youth!F11,$AC$3:$AD$7,2,TRUE),"")</f>
        <v>3D</v>
      </c>
      <c r="W11" s="8" t="str">
        <f>IFERROR(IF(V11=$W$1,Youth!F11,""),"")</f>
        <v/>
      </c>
      <c r="X11" s="8" t="str">
        <f>IFERROR(IF(V11=$X$1,Youth!F11,""),"")</f>
        <v/>
      </c>
      <c r="Y11" s="8">
        <f>IFERROR(IF(V11=$Y$1,Youth!F11,""),"")</f>
        <v>15.10000001</v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9"/>
      <c r="AD11" s="73" t="str">
        <f>IF(AE11="-","-",AB11)</f>
        <v>2nd</v>
      </c>
      <c r="AE11" s="73" t="str">
        <f>IFERROR(INDEX(Youth!B:F,MATCH(AG11,Youth!$F:$F,0),1),"-")</f>
        <v>Makayla Cross</v>
      </c>
      <c r="AF11" s="73" t="str">
        <f>IFERROR(INDEX(Youth!$B:$F,MATCH(AG11,Youth!$F:$F,0),2),"-")</f>
        <v>Aishas Burnin Love</v>
      </c>
      <c r="AG11" s="8">
        <f>IFERROR(SMALL($W$2:$W$286,AI11),"-")</f>
        <v>14.220000008000001</v>
      </c>
      <c r="AH11" s="178">
        <f>IF(AQ5&gt;0,AQ5,"")</f>
        <v>40.800000000000004</v>
      </c>
      <c r="AI11">
        <v>2</v>
      </c>
      <c r="AJ11"/>
      <c r="AK11"/>
      <c r="AL11" s="270" t="s">
        <v>76</v>
      </c>
      <c r="AM11" s="270"/>
      <c r="AN11" s="270"/>
      <c r="AO11" s="176">
        <v>20</v>
      </c>
    </row>
    <row r="12" spans="1:47" ht="16.5" thickBot="1">
      <c r="A12" s="25" t="str">
        <f>IF(B12="","",Draw!N12)</f>
        <v>oy</v>
      </c>
      <c r="B12" s="27" t="str">
        <f>IFERROR(Draw!O12,"")</f>
        <v>Autumn Maxfield</v>
      </c>
      <c r="C12" s="27" t="str">
        <f>IFERROR(Draw!P12,"")</f>
        <v>Split</v>
      </c>
      <c r="D12" s="96">
        <f>IF(OR(A12="oco",A12="oy"),VLOOKUP(CONCATENATE(B12,C12),'Open 1'!T:V,2,FALSE),"")</f>
        <v>16.576000000000001</v>
      </c>
      <c r="E12" s="106">
        <v>1.0999999999999999E-8</v>
      </c>
      <c r="F12" s="107">
        <f t="shared" si="1"/>
        <v>16.576000011000001</v>
      </c>
      <c r="G12" s="201" t="str">
        <f t="shared" si="2"/>
        <v/>
      </c>
      <c r="K12" s="58">
        <v>3</v>
      </c>
      <c r="L12" s="266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Autumn MaxfieldSplit</v>
      </c>
      <c r="T12" s="109">
        <f t="shared" si="0"/>
        <v>16.576000000000001</v>
      </c>
      <c r="V12" s="3" t="str">
        <f>IFERROR(VLOOKUP(Youth!F12,$AC$3:$AD$7,2,TRUE),"")</f>
        <v>4D</v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>
        <f>IFERROR(IF($V12=$Z$1,Youth!F12,""),"")</f>
        <v>16.576000011000001</v>
      </c>
      <c r="AA12" s="8" t="str">
        <f>IFERROR(IF(V12=$AA$1,Youth!F12,""),"")</f>
        <v/>
      </c>
      <c r="AB12" s="18" t="s">
        <v>24</v>
      </c>
      <c r="AC12" s="269"/>
      <c r="AD12" s="73" t="str">
        <f>IF(AE12="-","-",AB12)</f>
        <v>3rd</v>
      </c>
      <c r="AE12" s="73" t="str">
        <f>IFERROR(INDEX(Youth!B:F,MATCH(AG12,Youth!$F:$F,0),1),"-")</f>
        <v>Josey Fey</v>
      </c>
      <c r="AF12" s="73" t="str">
        <f>IFERROR(INDEX(Youth!$B:$F,MATCH(AG12,Youth!$F:$F,0),2),"-")</f>
        <v>O SO Country</v>
      </c>
      <c r="AG12" s="8">
        <f>IFERROR(SMALL($W$2:$W$286,AI12),"-")</f>
        <v>14.471000019</v>
      </c>
      <c r="AH12" s="178" t="str">
        <f>IF(AQ6&gt;0,AQ6,"")</f>
        <v/>
      </c>
      <c r="AI12">
        <v>3</v>
      </c>
      <c r="AJ12"/>
      <c r="AK12"/>
      <c r="AL12" s="270" t="s">
        <v>78</v>
      </c>
      <c r="AM12" s="270"/>
      <c r="AN12" s="270"/>
      <c r="AO12" s="176">
        <f>(AO10*AO11)+J3</f>
        <v>340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66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9"/>
      <c r="AD13" s="73" t="str">
        <f>IF(AE13="-","-",AB13)</f>
        <v>4th</v>
      </c>
      <c r="AE13" s="73" t="str">
        <f>IFERROR(INDEX(Youth!B:F,MATCH(AG13,Youth!$F:$F,0),1),"-")</f>
        <v>Shana Lensing</v>
      </c>
      <c r="AF13" s="73" t="str">
        <f>IFERROR(INDEX(Youth!$B:$F,MATCH(AG13,Youth!$F:$F,0),2),"-")</f>
        <v>Ultimate Dream Maker</v>
      </c>
      <c r="AG13" s="8">
        <f>IFERROR(SMALL($W$2:$W$286,AI13),"-")</f>
        <v>14.507000014999999</v>
      </c>
      <c r="AH13" s="178" t="str">
        <f>IF(AQ7&gt;0,AQ7,"")</f>
        <v/>
      </c>
      <c r="AI13">
        <v>4</v>
      </c>
      <c r="AJ13"/>
      <c r="AK13"/>
      <c r="AL13" s="270" t="s">
        <v>10</v>
      </c>
      <c r="AM13" s="270"/>
      <c r="AN13" s="270"/>
      <c r="AO13" s="176">
        <f>AO12*AU2</f>
        <v>237.99999999999997</v>
      </c>
    </row>
    <row r="14" spans="1:47" ht="16.5" thickBot="1">
      <c r="A14" s="25" t="str">
        <f>IF(B14="","",Draw!N14)</f>
        <v>oy</v>
      </c>
      <c r="B14" s="27" t="str">
        <f>IFERROR(Draw!O14,"")</f>
        <v>Sierra Berg</v>
      </c>
      <c r="C14" s="27" t="str">
        <f>IFERROR(Draw!P14,"")</f>
        <v>Houdini</v>
      </c>
      <c r="D14" s="96">
        <f>IF(OR(A14="oco",A14="oy"),VLOOKUP(CONCATENATE(B14,C14),'Open 1'!T:V,2,FALSE),"")</f>
        <v>20.388999999999999</v>
      </c>
      <c r="E14" s="106">
        <v>1.3000000000000001E-8</v>
      </c>
      <c r="F14" s="107">
        <f t="shared" si="1"/>
        <v>20.389000013</v>
      </c>
      <c r="G14" s="201" t="str">
        <f t="shared" si="2"/>
        <v/>
      </c>
      <c r="K14" s="58">
        <v>5</v>
      </c>
      <c r="L14" s="267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Sierra BergHoudini</v>
      </c>
      <c r="T14" s="109">
        <f t="shared" si="0"/>
        <v>20.388999999999999</v>
      </c>
      <c r="V14" s="3" t="str">
        <f>IFERROR(VLOOKUP(Youth!F14,$AC$3:$AD$7,2,TRUE),"")</f>
        <v>4D</v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>
        <f>IFERROR(IF($V14=$Z$1,Youth!F14,""),"")</f>
        <v>20.389000013</v>
      </c>
      <c r="AA14" s="8" t="str">
        <f>IFERROR(IF(V14=$AA$1,Youth!F14,""),"")</f>
        <v/>
      </c>
      <c r="AB14" s="18" t="s">
        <v>26</v>
      </c>
      <c r="AC14" s="269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Kendall Gillen</v>
      </c>
      <c r="C15" s="27" t="str">
        <f>IFERROR(Draw!P15,"")</f>
        <v>Blue Eyes</v>
      </c>
      <c r="D15" s="96">
        <f>IF(OR(A15="oco",A15="oy"),VLOOKUP(CONCATENATE(B15,C15),'Open 1'!T:V,2,FALSE),"")</f>
        <v>15.035</v>
      </c>
      <c r="E15" s="106">
        <v>1.4E-8</v>
      </c>
      <c r="F15" s="107">
        <f t="shared" si="1"/>
        <v>15.035000014</v>
      </c>
      <c r="G15" s="201" t="str">
        <f t="shared" si="2"/>
        <v/>
      </c>
      <c r="I15" s="275" t="s">
        <v>27</v>
      </c>
      <c r="J15" s="276"/>
      <c r="K15" s="58"/>
      <c r="L15" s="41"/>
      <c r="M15" s="50"/>
      <c r="N15" s="28"/>
      <c r="O15" s="28"/>
      <c r="P15" s="51"/>
      <c r="Q15" s="184"/>
      <c r="S15" s="21" t="str">
        <f t="shared" si="3"/>
        <v>Kendall GillenBlue Eyes</v>
      </c>
      <c r="T15" s="109">
        <f t="shared" si="0"/>
        <v>15.035</v>
      </c>
      <c r="V15" s="3" t="str">
        <f>IFERROR(VLOOKUP(Youth!F15,$AC$3:$AD$7,2,TRUE),"")</f>
        <v>2D</v>
      </c>
      <c r="W15" s="8" t="str">
        <f>IFERROR(IF(V15=$W$1,Youth!F15,""),"")</f>
        <v/>
      </c>
      <c r="X15" s="8">
        <f>IFERROR(IF(V15=$X$1,Youth!F15,""),"")</f>
        <v>15.035000014</v>
      </c>
      <c r="Y15" s="8" t="str">
        <f>IFERROR(IF(V15=$Y$1,Youth!F15,""),"")</f>
        <v/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Shana Lensing</v>
      </c>
      <c r="C16" s="27" t="str">
        <f>IFERROR(Draw!P16,"")</f>
        <v>Ultimate Dream Maker</v>
      </c>
      <c r="D16" s="96">
        <f>IF(OR(A16="oco",A16="oy"),VLOOKUP(CONCATENATE(B16,C16),'Open 1'!T:V,2,FALSE),"")</f>
        <v>14.507</v>
      </c>
      <c r="E16" s="106">
        <v>1.4999999999999999E-8</v>
      </c>
      <c r="F16" s="107">
        <f t="shared" si="1"/>
        <v>14.507000014999999</v>
      </c>
      <c r="G16" s="201" t="str">
        <f t="shared" si="2"/>
        <v/>
      </c>
      <c r="H16" s="24"/>
      <c r="I16" s="139" t="s">
        <v>30</v>
      </c>
      <c r="J16" s="137" t="s">
        <v>28</v>
      </c>
      <c r="L16" s="277" t="s">
        <v>5</v>
      </c>
      <c r="M16" s="46" t="str">
        <f>Youth!AD22</f>
        <v>1st</v>
      </c>
      <c r="N16" s="29" t="str">
        <f>Youth!AE22</f>
        <v>Hayden Seitz</v>
      </c>
      <c r="O16" s="29" t="str">
        <f>Youth!AF22</f>
        <v>Jitter</v>
      </c>
      <c r="P16" s="47">
        <f>Youth!AG22</f>
        <v>15.10000001</v>
      </c>
      <c r="Q16" s="181">
        <f>AH22</f>
        <v>30.599999999999998</v>
      </c>
      <c r="S16" s="21" t="str">
        <f t="shared" si="3"/>
        <v>Shana LensingUltimate Dream Maker</v>
      </c>
      <c r="T16" s="109">
        <f t="shared" si="0"/>
        <v>14.507</v>
      </c>
      <c r="V16" s="3" t="str">
        <f>IFERROR(VLOOKUP(Youth!F16,$AC$3:$AD$7,2,TRUE),"")</f>
        <v>1D</v>
      </c>
      <c r="W16" s="8">
        <f>IFERROR(IF(V16=$W$1,Youth!F16,""),"")</f>
        <v>14.507000014999999</v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9" t="s">
        <v>4</v>
      </c>
      <c r="AD16" s="19" t="str">
        <f>IF(AE16="-","-",AB16)</f>
        <v>1st</v>
      </c>
      <c r="AE16" s="19" t="str">
        <f>IFERROR(INDEX(Youth!B:F,MATCH(AG16,Youth!F:F,0),1),"-")</f>
        <v>Joslyn Deknikker</v>
      </c>
      <c r="AF16" s="19" t="str">
        <f>IFERROR(INDEX(Youth!B:F,MATCH(AG16,Youth!F:F,0),2),"-")</f>
        <v>Chexies Smoke</v>
      </c>
      <c r="AG16" s="4">
        <f>IFERROR(SMALL($X$2:$X$286,AI16),"-")</f>
        <v>14.697000009</v>
      </c>
      <c r="AH16" s="179">
        <f>IF(AR4&gt;0,AR4,"")</f>
        <v>40.799999999999997</v>
      </c>
      <c r="AI16">
        <v>1</v>
      </c>
      <c r="AJ16"/>
      <c r="AK16"/>
    </row>
    <row r="17" spans="1:37">
      <c r="A17" s="25" t="str">
        <f>IF(B17="","",Draw!N17)</f>
        <v>oy</v>
      </c>
      <c r="B17" s="27" t="str">
        <f>IFERROR(Draw!O17,"")</f>
        <v>Quinn Gillen</v>
      </c>
      <c r="C17" s="27" t="str">
        <f>IFERROR(Draw!P17,"")</f>
        <v>Blue</v>
      </c>
      <c r="D17" s="96" t="str">
        <f>IF(OR(A17="oco",A17="oy"),VLOOKUP(CONCATENATE(B17,C17),'Open 1'!T:V,2,FALSE),"")</f>
        <v>scratch</v>
      </c>
      <c r="E17" s="106">
        <v>1.6000000000000001E-8</v>
      </c>
      <c r="F17" s="107">
        <f t="shared" si="1"/>
        <v>3000.0000000159998</v>
      </c>
      <c r="G17" s="201" t="str">
        <f t="shared" si="2"/>
        <v/>
      </c>
      <c r="I17" s="139" t="s">
        <v>31</v>
      </c>
      <c r="J17" s="137" t="s">
        <v>29</v>
      </c>
      <c r="L17" s="278"/>
      <c r="M17" s="37" t="str">
        <f>IF($J$13&lt;"2","",Youth!AD23)</f>
        <v>2nd</v>
      </c>
      <c r="N17" s="26" t="str">
        <f>IF(M17="","",Youth!AE23)</f>
        <v>Megan Rosendahl</v>
      </c>
      <c r="O17" s="26" t="str">
        <f>IF(N17="","",Youth!AF23)</f>
        <v>A Dash of Jerzy Cash</v>
      </c>
      <c r="P17" s="48">
        <f>IF(O17="","",Youth!AG23)</f>
        <v>15.192000002</v>
      </c>
      <c r="Q17" s="182">
        <f>AH23</f>
        <v>20.400000000000002</v>
      </c>
      <c r="S17" s="21" t="str">
        <f t="shared" si="3"/>
        <v>Quinn GillenBlue</v>
      </c>
      <c r="T17" s="109" t="str">
        <f t="shared" si="0"/>
        <v>scratch</v>
      </c>
      <c r="V17" s="3" t="str">
        <f>IFERROR(VLOOKUP(Youth!F17,$AC$3:$AD$7,2,TRUE),"")</f>
        <v>4D</v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>
        <f>IFERROR(IF($V17=$Z$1,Youth!F17,""),"")</f>
        <v>3000.0000000159998</v>
      </c>
      <c r="AA17" s="8" t="str">
        <f>IFERROR(IF(V17=$AA$1,Youth!F17,""),"")</f>
        <v/>
      </c>
      <c r="AB17" s="18" t="s">
        <v>21</v>
      </c>
      <c r="AC17" s="269"/>
      <c r="AD17" s="19" t="str">
        <f>IF(AE17="-","-",AB17)</f>
        <v>2nd</v>
      </c>
      <c r="AE17" s="19" t="str">
        <f>IFERROR(INDEX(Youth!B:F,MATCH(AG17,Youth!F:F,0),1),"-")</f>
        <v>Kendall Gillen</v>
      </c>
      <c r="AF17" s="19" t="str">
        <f>IFERROR(INDEX(Youth!B:F,MATCH(AG17,Youth!F:F,0),2),"-")</f>
        <v>Blue Eyes</v>
      </c>
      <c r="AG17" s="4">
        <f>IFERROR(SMALL($X$2:$X$286,AI17),"-")</f>
        <v>15.035000014</v>
      </c>
      <c r="AH17" s="179">
        <f>IF(AR5&gt;0,AR5,"")</f>
        <v>27.200000000000003</v>
      </c>
      <c r="AI17">
        <v>2</v>
      </c>
      <c r="AJ17"/>
      <c r="AK17"/>
    </row>
    <row r="18" spans="1:37" ht="16.5" thickBot="1">
      <c r="A18" s="25" t="str">
        <f>IF(B18="","",Draw!N18)</f>
        <v>oy</v>
      </c>
      <c r="B18" s="27" t="str">
        <f>IFERROR(Draw!O18,"")</f>
        <v>Eva Schafer</v>
      </c>
      <c r="C18" s="27" t="str">
        <f>IFERROR(Draw!P18,"")</f>
        <v>Zipper</v>
      </c>
      <c r="D18" s="96">
        <f>IF(OR(A18="oco",A18="oy"),VLOOKUP(CONCATENATE(B18,C18),'Open 1'!T:V,2,FALSE),"")</f>
        <v>916.95899999999995</v>
      </c>
      <c r="E18" s="106">
        <v>1.7E-8</v>
      </c>
      <c r="F18" s="107">
        <f t="shared" si="1"/>
        <v>916.95900001699999</v>
      </c>
      <c r="G18" s="201" t="str">
        <f t="shared" si="2"/>
        <v/>
      </c>
      <c r="I18" s="140" t="s">
        <v>32</v>
      </c>
      <c r="J18" s="138" t="s">
        <v>71</v>
      </c>
      <c r="L18" s="278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>Eva SchaferZipper</v>
      </c>
      <c r="T18" s="109">
        <f t="shared" si="0"/>
        <v>916.95899999999995</v>
      </c>
      <c r="V18" s="3" t="str">
        <f>IFERROR(VLOOKUP(Youth!F18,$AC$3:$AD$7,2,TRUE),"")</f>
        <v>4D</v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>
        <f>IFERROR(IF($V18=$Z$1,Youth!F18,""),"")</f>
        <v>916.95900001699999</v>
      </c>
      <c r="AA18" s="8" t="str">
        <f>IFERROR(IF(V18=$AA$1,Youth!F18,""),"")</f>
        <v/>
      </c>
      <c r="AB18" s="18" t="s">
        <v>24</v>
      </c>
      <c r="AC18" s="269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8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9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>oy</v>
      </c>
      <c r="B20" s="27" t="str">
        <f>IFERROR(Draw!O20,"")</f>
        <v>Josey Fey</v>
      </c>
      <c r="C20" s="27" t="str">
        <f>IFERROR(Draw!P20,"")</f>
        <v>O SO Country</v>
      </c>
      <c r="D20" s="96">
        <f>IF(OR(A20="oco",A20="oy"),VLOOKUP(CONCATENATE(B20,C20),'Open 1'!T:V,2,FALSE),"")</f>
        <v>14.471</v>
      </c>
      <c r="E20" s="106">
        <v>1.9000000000000001E-8</v>
      </c>
      <c r="F20" s="107">
        <f t="shared" si="1"/>
        <v>14.471000019</v>
      </c>
      <c r="G20" s="201" t="str">
        <f t="shared" si="2"/>
        <v/>
      </c>
      <c r="L20" s="279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>Josey FeyO SO Country</v>
      </c>
      <c r="T20" s="109">
        <f t="shared" si="0"/>
        <v>14.471</v>
      </c>
      <c r="V20" s="3" t="str">
        <f>IFERROR(VLOOKUP(Youth!F20,$AC$3:$AD$7,2,TRUE),"")</f>
        <v>1D</v>
      </c>
      <c r="W20" s="8">
        <f>IFERROR(IF(V20=$W$1,Youth!F20,""),"")</f>
        <v>14.471000019</v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9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>oy</v>
      </c>
      <c r="B21" s="27" t="str">
        <f>IFERROR(Draw!O21,"")</f>
        <v>Hatty Fey</v>
      </c>
      <c r="C21" s="27" t="str">
        <f>IFERROR(Draw!P21,"")</f>
        <v>Maude</v>
      </c>
      <c r="D21" s="96">
        <f>IF(OR(A21="oco",A21="oy"),VLOOKUP(CONCATENATE(B21,C21),'Open 1'!T:V,2,FALSE),"")</f>
        <v>15.583</v>
      </c>
      <c r="E21" s="106">
        <v>2E-8</v>
      </c>
      <c r="F21" s="107">
        <f t="shared" si="1"/>
        <v>15.58300002</v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>Hatty FeyMaude</v>
      </c>
      <c r="T21" s="109">
        <f t="shared" si="0"/>
        <v>15.583</v>
      </c>
      <c r="V21" s="3" t="str">
        <f>IFERROR(VLOOKUP(Youth!F21,$AC$3:$AD$7,2,TRUE),"")</f>
        <v>3D</v>
      </c>
      <c r="W21" s="8" t="str">
        <f>IFERROR(IF(V21=$W$1,Youth!F21,""),"")</f>
        <v/>
      </c>
      <c r="X21" s="8" t="str">
        <f>IFERROR(IF(V21=$X$1,Youth!F21,""),"")</f>
        <v/>
      </c>
      <c r="Y21" s="8">
        <f>IFERROR(IF(V21=$Y$1,Youth!F21,""),"")</f>
        <v>15.58300002</v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>oy</v>
      </c>
      <c r="B22" s="27" t="str">
        <f>IFERROR(Draw!O22,"")</f>
        <v>Hatty Fey</v>
      </c>
      <c r="C22" s="27" t="str">
        <f>IFERROR(Draw!P22,"")</f>
        <v>Sage</v>
      </c>
      <c r="D22" s="96">
        <f>IF(OR(A22="oco",A22="oy"),VLOOKUP(CONCATENATE(B22,C22),'Open 1'!T:V,2,FALSE),"")</f>
        <v>915.94399999999996</v>
      </c>
      <c r="E22" s="106">
        <v>2.0999999999999999E-8</v>
      </c>
      <c r="F22" s="107">
        <f t="shared" si="1"/>
        <v>915.94400002099997</v>
      </c>
      <c r="G22" s="201" t="str">
        <f t="shared" si="2"/>
        <v/>
      </c>
      <c r="I22" s="58"/>
      <c r="L22" s="280" t="s">
        <v>6</v>
      </c>
      <c r="M22" s="46" t="str">
        <f>Youth!AD28</f>
        <v>1st</v>
      </c>
      <c r="N22" s="29" t="str">
        <f>Youth!AE28</f>
        <v>Autumn Maxfield</v>
      </c>
      <c r="O22" s="29" t="str">
        <f>Youth!AF28</f>
        <v>Split</v>
      </c>
      <c r="P22" s="47">
        <f>Youth!AG28</f>
        <v>16.576000011000001</v>
      </c>
      <c r="Q22" s="181">
        <f>AH28</f>
        <v>20.399999999999999</v>
      </c>
      <c r="S22" s="21" t="str">
        <f t="shared" si="3"/>
        <v>Hatty FeySage</v>
      </c>
      <c r="T22" s="109">
        <f t="shared" si="0"/>
        <v>915.94399999999996</v>
      </c>
      <c r="V22" s="3" t="str">
        <f>IFERROR(VLOOKUP(Youth!F22,$AC$3:$AD$7,2,TRUE),"")</f>
        <v>4D</v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>
        <f>IFERROR(IF($V22=$Z$1,Youth!F22,""),"")</f>
        <v>915.94400002099997</v>
      </c>
      <c r="AA22" s="8" t="str">
        <f>IFERROR(IF(V22=$AA$1,Youth!F22,""),"")</f>
        <v/>
      </c>
      <c r="AB22" s="18" t="s">
        <v>20</v>
      </c>
      <c r="AC22" s="269" t="s">
        <v>5</v>
      </c>
      <c r="AD22" s="19" t="str">
        <f>IF(AE22="-","-","1st")</f>
        <v>1st</v>
      </c>
      <c r="AE22" s="19" t="str">
        <f>IFERROR(INDEX(Youth!B:F,MATCH(AG22,Youth!F:F,0),1),"-")</f>
        <v>Hayden Seitz</v>
      </c>
      <c r="AF22" s="19" t="str">
        <f>IFERROR(INDEX(Youth!B:F,MATCH(AG22,Youth!F:F,0),2),"-")</f>
        <v>Jitter</v>
      </c>
      <c r="AG22" s="78">
        <f>IFERROR(SMALL($Y$2:$Y$286,AI22),"-")</f>
        <v>15.10000001</v>
      </c>
      <c r="AH22" s="179">
        <f>IF(AS4&gt;0,AS4,"")</f>
        <v>30.599999999999998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81"/>
      <c r="M23" s="37" t="str">
        <f>IF($J$13&lt;"2","",Youth!AD29)</f>
        <v>2nd</v>
      </c>
      <c r="N23" s="26" t="str">
        <f>IF(M23="","",Youth!AE29)</f>
        <v>Sierra Berg</v>
      </c>
      <c r="O23" s="26" t="str">
        <f>IF(N23="","",Youth!AF29)</f>
        <v>Houdini</v>
      </c>
      <c r="P23" s="48">
        <f>IF(O23="","",Youth!AG29)</f>
        <v>20.389000013</v>
      </c>
      <c r="Q23" s="182">
        <f>AH29</f>
        <v>13.600000000000001</v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9"/>
      <c r="AD23" s="19" t="str">
        <f>IF(AE23="-","-","2nd")</f>
        <v>2nd</v>
      </c>
      <c r="AE23" s="19" t="str">
        <f>IFERROR(INDEX(Youth!B:F,MATCH(AG23,Youth!F:F,0),1),"-")</f>
        <v>Megan Rosendahl</v>
      </c>
      <c r="AF23" s="19" t="str">
        <f>IFERROR(INDEX(Youth!B:F,MATCH(AG23,Youth!F:F,0),2),"-")</f>
        <v>A Dash of Jerzy Cash</v>
      </c>
      <c r="AG23" s="78">
        <f>IFERROR(SMALL($Y$2:$Y$286,AI23),"-")</f>
        <v>15.192000002</v>
      </c>
      <c r="AH23" s="179">
        <f>IF(AS5&gt;0,AS5,"")</f>
        <v>20.400000000000002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81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9"/>
      <c r="AD24" s="19" t="str">
        <f>IF(AE24="-","-","3rd")</f>
        <v>3rd</v>
      </c>
      <c r="AE24" s="19" t="str">
        <f>IFERROR(INDEX(Youth!B:F,MATCH(AG24,Youth!F:F,0),1),"-")</f>
        <v>Hatty Fey</v>
      </c>
      <c r="AF24" s="19" t="str">
        <f>IFERROR(INDEX(Youth!B:F,MATCH(AG24,Youth!F:F,0),2),"-")</f>
        <v>Maude</v>
      </c>
      <c r="AG24" s="78">
        <f>IFERROR(SMALL($Y$2:$Y$286,AI24),"-")</f>
        <v>15.58300002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81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9"/>
      <c r="AD25" s="19" t="str">
        <f>IF(AE25="-","-","4th")</f>
        <v>4th</v>
      </c>
      <c r="AE25" s="19" t="str">
        <f>IFERROR(INDEX(Youth!B:F,MATCH(AG25,Youth!F:F,0),1),"-")</f>
        <v>Aleah Marco</v>
      </c>
      <c r="AF25" s="19" t="str">
        <f>IFERROR(INDEX(Youth!B:F,MATCH(AG25,Youth!F:F,0),2),"-")</f>
        <v>Premier Passum</v>
      </c>
      <c r="AG25" s="78">
        <f>IFERROR(SMALL($Y$2:$Y$286,AI25),"-")</f>
        <v>15.908000003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82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9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71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9" t="s">
        <v>6</v>
      </c>
      <c r="AD28" s="19" t="str">
        <f>IF(AE28="-","-","1st")</f>
        <v>1st</v>
      </c>
      <c r="AE28" s="19" t="str">
        <f>IFERROR(INDEX(Youth!B:F,MATCH(AG28,Youth!F:F,0),1),"-")</f>
        <v>Autumn Maxfield</v>
      </c>
      <c r="AF28" s="19" t="str">
        <f>IFERROR(INDEX(Youth!B:F,MATCH(AG28,Youth!F:F,0),2),"-")</f>
        <v>Split</v>
      </c>
      <c r="AG28" s="4">
        <f>IFERROR(IF(SMALL($Z$2:$Z$286,AI28)&lt;900,SMALL($Z$2:$Z$286,AI28),"-"),"-")</f>
        <v>16.576000011000001</v>
      </c>
      <c r="AH28" s="179">
        <f>IF(AT4&gt;0,AT4,"")</f>
        <v>20.399999999999999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72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9"/>
      <c r="AD29" s="19" t="str">
        <f>IF(AE29="-","-","2nd")</f>
        <v>2nd</v>
      </c>
      <c r="AE29" s="19" t="str">
        <f>IFERROR(INDEX(Youth!B:F,MATCH(AG29,Youth!F:F,0),1),"-")</f>
        <v>Sierra Berg</v>
      </c>
      <c r="AF29" s="19" t="str">
        <f>IFERROR(INDEX(Youth!B:F,MATCH(AG29,Youth!F:F,0),2),"-")</f>
        <v>Houdini</v>
      </c>
      <c r="AG29" s="4">
        <f>IFERROR(IF(SMALL($Z$2:$Z$286,AI29)&lt;900,SMALL($Z$2:$Z$286,AI29),"-"),"-")</f>
        <v>20.389000013</v>
      </c>
      <c r="AH29" s="179">
        <f>IF(AT5&gt;0,AT5,"")</f>
        <v>13.600000000000001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72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9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72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9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3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9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9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9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9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9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4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9" sqref="J19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Cami Wolles</v>
      </c>
      <c r="C2" s="95" t="str">
        <f>IFERROR(IF(INDEX(Youth!$A:$F,MATCH('Youth Results'!$E2,Youth!$F:$F,0),3)&gt;0,INDEX(Youth!$A:$F,MATCH('Youth Results'!$E2,Youth!$F:$F,0),3),""),"")</f>
        <v>Nellie</v>
      </c>
      <c r="D2" s="96">
        <f>IFERROR(IF(AND(SMALL(Youth!F:F,K2)&gt;1000,SMALL(Youth!F:F,K2)&lt;3000),"nt",IF(SMALL(Youth!F:F,K2)&gt;3000,"",SMALL(Youth!F:F,K2))),"")</f>
        <v>14.090000004</v>
      </c>
      <c r="E2" s="132">
        <f>IF(D2="nt",IFERROR(SMALL(Youth!F:F,K2),""),IF(D2&gt;3000,"",IFERROR(SMALL(Youth!F:F,K2),"")))</f>
        <v>14.090000004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Makayla Cross</v>
      </c>
      <c r="C3" s="95" t="str">
        <f>IFERROR(IF(INDEX(Youth!$A:$F,MATCH('Youth Results'!$E3,Youth!$F:$F,0),3)&gt;0,INDEX(Youth!$A:$F,MATCH('Youth Results'!$E3,Youth!$F:$F,0),3),""),"")</f>
        <v>Aishas Burnin Love</v>
      </c>
      <c r="D3" s="96">
        <f>IFERROR(IF(AND(SMALL(Youth!F:F,K3)&gt;1000,SMALL(Youth!F:F,K3)&lt;3000),"nt",IF(SMALL(Youth!F:F,K3)&gt;3000,"",SMALL(Youth!F:F,K3))),"")</f>
        <v>14.220000008000001</v>
      </c>
      <c r="E3" s="132">
        <f>IF(D3="nt",IFERROR(SMALL(Youth!F:F,K3),""),IF(D3&gt;3000,"",IFERROR(SMALL(Youth!F:F,K3),"")))</f>
        <v>14.220000008000001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14.090000004</v>
      </c>
      <c r="I3" s="68" t="s">
        <v>3</v>
      </c>
      <c r="J3" s="141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oy</v>
      </c>
      <c r="B4" s="95" t="str">
        <f>IFERROR(IF(INDEX(Youth!$A:$F,MATCH('Youth Results'!$E4,Youth!$F:$F,0),2)&gt;0,INDEX(Youth!$A:$F,MATCH('Youth Results'!$E4,Youth!$F:$F,0),2),""),"")</f>
        <v>Josey Fey</v>
      </c>
      <c r="C4" s="95" t="str">
        <f>IFERROR(IF(INDEX(Youth!$A:$F,MATCH('Youth Results'!$E4,Youth!$F:$F,0),3)&gt;0,INDEX(Youth!$A:$F,MATCH('Youth Results'!$E4,Youth!$F:$F,0),3),""),"")</f>
        <v>O SO Country</v>
      </c>
      <c r="D4" s="96">
        <f>IFERROR(IF(AND(SMALL(Youth!F:F,K4)&gt;1000,SMALL(Youth!F:F,K4)&lt;3000),"nt",IF(SMALL(Youth!F:F,K4)&gt;3000,"",SMALL(Youth!F:F,K4))),"")</f>
        <v>14.471000019</v>
      </c>
      <c r="E4" s="132">
        <f>IF(D4="nt",IFERROR(SMALL(Youth!F:F,K4),""),IF(D4&gt;3000,"",IFERROR(SMALL(Youth!F:F,K4),"")))</f>
        <v>14.471000019</v>
      </c>
      <c r="F4" s="97" t="str">
        <f t="shared" si="0"/>
        <v>1D</v>
      </c>
      <c r="G4" s="104" t="str">
        <f t="shared" si="1"/>
        <v/>
      </c>
      <c r="H4" s="90">
        <f>Youth!P10</f>
        <v>14.697000009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oy</v>
      </c>
      <c r="B5" s="95" t="str">
        <f>IFERROR(IF(INDEX(Youth!$A:$F,MATCH('Youth Results'!$E5,Youth!$F:$F,0),2)&gt;0,INDEX(Youth!$A:$F,MATCH('Youth Results'!$E5,Youth!$F:$F,0),2),""),"")</f>
        <v>Shana Lensing</v>
      </c>
      <c r="C5" s="95" t="str">
        <f>IFERROR(IF(INDEX(Youth!$A:$F,MATCH('Youth Results'!$E5,Youth!$F:$F,0),3)&gt;0,INDEX(Youth!$A:$F,MATCH('Youth Results'!$E5,Youth!$F:$F,0),3),""),"")</f>
        <v>Ultimate Dream Maker</v>
      </c>
      <c r="D5" s="96">
        <f>IFERROR(IF(AND(SMALL(Youth!F:F,K5)&gt;1000,SMALL(Youth!F:F,K5)&lt;3000),"nt",IF(SMALL(Youth!F:F,K5)&gt;3000,"",SMALL(Youth!F:F,K5))),"")</f>
        <v>14.507000014999999</v>
      </c>
      <c r="E5" s="132">
        <f>IF(D5="nt",IFERROR(SMALL(Youth!F:F,K5),""),IF(D5&gt;3000,"",IFERROR(SMALL(Youth!F:F,K5),"")))</f>
        <v>14.507000014999999</v>
      </c>
      <c r="F5" s="97" t="str">
        <f t="shared" si="0"/>
        <v>1D</v>
      </c>
      <c r="G5" s="104" t="str">
        <f t="shared" si="1"/>
        <v/>
      </c>
      <c r="H5" s="90">
        <f>Youth!P16</f>
        <v>15.10000001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Joslyn Deknikker</v>
      </c>
      <c r="C6" s="95" t="str">
        <f>IFERROR(IF(INDEX(Youth!$A:$F,MATCH('Youth Results'!$E6,Youth!$F:$F,0),3)&gt;0,INDEX(Youth!$A:$F,MATCH('Youth Results'!$E6,Youth!$F:$F,0),3),""),"")</f>
        <v>Chexies Smoke</v>
      </c>
      <c r="D6" s="96">
        <f>IFERROR(IF(AND(SMALL(Youth!F:F,K6)&gt;1000,SMALL(Youth!F:F,K6)&lt;3000),"nt",IF(SMALL(Youth!F:F,K6)&gt;3000,"",SMALL(Youth!F:F,K6))),"")</f>
        <v>14.697000009</v>
      </c>
      <c r="E6" s="132">
        <f>IF(D6="nt",IFERROR(SMALL(Youth!F:F,K6),""),IF(D6&gt;3000,"",IFERROR(SMALL(Youth!F:F,K6),"")))</f>
        <v>14.697000009</v>
      </c>
      <c r="F6" s="97" t="str">
        <f t="shared" si="0"/>
        <v>2D</v>
      </c>
      <c r="G6" s="104" t="str">
        <f t="shared" si="1"/>
        <v>2D</v>
      </c>
      <c r="H6" s="90">
        <f>Youth!P22</f>
        <v>16.576000011000001</v>
      </c>
      <c r="I6" s="98" t="s">
        <v>6</v>
      </c>
      <c r="J6" s="141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Kendall Gillen</v>
      </c>
      <c r="C7" s="95" t="str">
        <f>IFERROR(IF(INDEX(Youth!$A:$F,MATCH('Youth Results'!$E7,Youth!$F:$F,0),3)&gt;0,INDEX(Youth!$A:$F,MATCH('Youth Results'!$E7,Youth!$F:$F,0),3),""),"")</f>
        <v>Blue Eyes</v>
      </c>
      <c r="D7" s="96">
        <f>IFERROR(IF(AND(SMALL(Youth!F:F,K7)&gt;1000,SMALL(Youth!F:F,K7)&lt;3000),"nt",IF(SMALL(Youth!F:F,K7)&gt;3000,"",SMALL(Youth!F:F,K7))),"")</f>
        <v>15.035000014</v>
      </c>
      <c r="E7" s="132">
        <f>IF(D7="nt",IFERROR(SMALL(Youth!F:F,K7),""),IF(D7&gt;3000,"",IFERROR(SMALL(Youth!F:F,K7),"")))</f>
        <v>15.035000014</v>
      </c>
      <c r="F7" s="97" t="str">
        <f t="shared" si="0"/>
        <v>2D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Hayden Seitz</v>
      </c>
      <c r="C8" s="95" t="str">
        <f>IFERROR(IF(INDEX(Youth!$A:$F,MATCH('Youth Results'!$E8,Youth!$F:$F,0),3)&gt;0,INDEX(Youth!$A:$F,MATCH('Youth Results'!$E8,Youth!$F:$F,0),3),""),"")</f>
        <v>Jitter</v>
      </c>
      <c r="D8" s="96">
        <f>IFERROR(IF(AND(SMALL(Youth!F:F,K8)&gt;1000,SMALL(Youth!F:F,K8)&lt;3000),"nt",IF(SMALL(Youth!F:F,K8)&gt;3000,"",SMALL(Youth!F:F,K8))),"")</f>
        <v>15.10000001</v>
      </c>
      <c r="E8" s="132">
        <f>IF(D8="nt",IFERROR(SMALL(Youth!F:F,K8),""),IF(D8&gt;3000,"",IFERROR(SMALL(Youth!F:F,K8),"")))</f>
        <v>15.10000001</v>
      </c>
      <c r="F8" s="97" t="str">
        <f t="shared" si="0"/>
        <v>3D</v>
      </c>
      <c r="G8" s="104" t="str">
        <f t="shared" si="1"/>
        <v>3D</v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oco</v>
      </c>
      <c r="B9" s="95" t="str">
        <f>IFERROR(IF(INDEX(Youth!$A:$F,MATCH('Youth Results'!$E9,Youth!$F:$F,0),2)&gt;0,INDEX(Youth!$A:$F,MATCH('Youth Results'!$E9,Youth!$F:$F,0),2),""),"")</f>
        <v>Megan Rosendahl</v>
      </c>
      <c r="C9" s="95" t="str">
        <f>IFERROR(IF(INDEX(Youth!$A:$F,MATCH('Youth Results'!$E9,Youth!$F:$F,0),3)&gt;0,INDEX(Youth!$A:$F,MATCH('Youth Results'!$E9,Youth!$F:$F,0),3),""),"")</f>
        <v>A Dash of Jerzy Cash</v>
      </c>
      <c r="D9" s="96">
        <f>IFERROR(IF(AND(SMALL(Youth!F:F,K9)&gt;1000,SMALL(Youth!F:F,K9)&lt;3000),"nt",IF(SMALL(Youth!F:F,K9)&gt;3000,"",SMALL(Youth!F:F,K9))),"")</f>
        <v>15.192000002</v>
      </c>
      <c r="E9" s="132">
        <f>IF(D9="nt",IFERROR(SMALL(Youth!F:F,K9),""),IF(D9&gt;3000,"",IFERROR(SMALL(Youth!F:F,K9),"")))</f>
        <v>15.192000002</v>
      </c>
      <c r="F9" s="97" t="str">
        <f t="shared" si="0"/>
        <v>3D</v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Hatty Fey</v>
      </c>
      <c r="C10" s="95" t="str">
        <f>IFERROR(IF(INDEX(Youth!$A:$F,MATCH('Youth Results'!$E10,Youth!$F:$F,0),3)&gt;0,INDEX(Youth!$A:$F,MATCH('Youth Results'!$E10,Youth!$F:$F,0),3),""),"")</f>
        <v>Maude</v>
      </c>
      <c r="D10" s="96">
        <f>IFERROR(IF(AND(SMALL(Youth!F:F,K10)&gt;1000,SMALL(Youth!F:F,K10)&lt;3000),"nt",IF(SMALL(Youth!F:F,K10)&gt;3000,"",SMALL(Youth!F:F,K10))),"")</f>
        <v>15.58300002</v>
      </c>
      <c r="E10" s="132">
        <f>IF(D10="nt",IFERROR(SMALL(Youth!F:F,K10),""),IF(D10&gt;3000,"",IFERROR(SMALL(Youth!F:F,K10),"")))</f>
        <v>15.58300002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oco</v>
      </c>
      <c r="B11" s="95" t="str">
        <f>IFERROR(IF(INDEX(Youth!$A:$F,MATCH('Youth Results'!$E11,Youth!$F:$F,0),2)&gt;0,INDEX(Youth!$A:$F,MATCH('Youth Results'!$E11,Youth!$F:$F,0),2),""),"")</f>
        <v>Aleah Marco</v>
      </c>
      <c r="C11" s="95" t="str">
        <f>IFERROR(IF(INDEX(Youth!$A:$F,MATCH('Youth Results'!$E11,Youth!$F:$F,0),3)&gt;0,INDEX(Youth!$A:$F,MATCH('Youth Results'!$E11,Youth!$F:$F,0),3),""),"")</f>
        <v>Premier Passum</v>
      </c>
      <c r="D11" s="96">
        <f>IFERROR(IF(AND(SMALL(Youth!F:F,K11)&gt;1000,SMALL(Youth!F:F,K11)&lt;3000),"nt",IF(SMALL(Youth!F:F,K11)&gt;3000,"",SMALL(Youth!F:F,K11))),"")</f>
        <v>15.908000003</v>
      </c>
      <c r="E11" s="132">
        <f>IF(D11="nt",IFERROR(SMALL(Youth!F:F,K11),""),IF(D11&gt;3000,"",IFERROR(SMALL(Youth!F:F,K11),"")))</f>
        <v>15.908000003</v>
      </c>
      <c r="F11" s="97" t="str">
        <f t="shared" si="0"/>
        <v>3D</v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>Autumn Maxfield</v>
      </c>
      <c r="C12" s="95" t="str">
        <f>IFERROR(IF(INDEX(Youth!$A:$F,MATCH('Youth Results'!$E12,Youth!$F:$F,0),3)&gt;0,INDEX(Youth!$A:$F,MATCH('Youth Results'!$E12,Youth!$F:$F,0),3),""),"")</f>
        <v>Split</v>
      </c>
      <c r="D12" s="96">
        <f>IFERROR(IF(AND(SMALL(Youth!F:F,K12)&gt;1000,SMALL(Youth!F:F,K12)&lt;3000),"nt",IF(SMALL(Youth!F:F,K12)&gt;3000,"",SMALL(Youth!F:F,K12))),"")</f>
        <v>16.576000011000001</v>
      </c>
      <c r="E12" s="132">
        <f>IF(D12="nt",IFERROR(SMALL(Youth!F:F,K12),""),IF(D12&gt;3000,"",IFERROR(SMALL(Youth!F:F,K12),"")))</f>
        <v>16.576000011000001</v>
      </c>
      <c r="F12" s="97" t="str">
        <f t="shared" si="0"/>
        <v>4D</v>
      </c>
      <c r="G12" s="104" t="str">
        <f t="shared" si="1"/>
        <v>4D</v>
      </c>
      <c r="J12" s="141">
        <v>5</v>
      </c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oy</v>
      </c>
      <c r="B13" s="95" t="str">
        <f>IFERROR(IF(INDEX(Youth!$A:$F,MATCH('Youth Results'!$E13,Youth!$F:$F,0),2)&gt;0,INDEX(Youth!$A:$F,MATCH('Youth Results'!$E13,Youth!$F:$F,0),2),""),"")</f>
        <v>Sierra Berg</v>
      </c>
      <c r="C13" s="95" t="str">
        <f>IFERROR(IF(INDEX(Youth!$A:$F,MATCH('Youth Results'!$E13,Youth!$F:$F,0),3)&gt;0,INDEX(Youth!$A:$F,MATCH('Youth Results'!$E13,Youth!$F:$F,0),3),""),"")</f>
        <v>Houdini</v>
      </c>
      <c r="D13" s="96">
        <f>IFERROR(IF(AND(SMALL(Youth!F:F,K13)&gt;1000,SMALL(Youth!F:F,K13)&lt;3000),"nt",IF(SMALL(Youth!F:F,K13)&gt;3000,"",SMALL(Youth!F:F,K13))),"")</f>
        <v>20.389000013</v>
      </c>
      <c r="E13" s="132">
        <f>IF(D13="nt",IFERROR(SMALL(Youth!F:F,K13),""),IF(D13&gt;3000,"",IFERROR(SMALL(Youth!F:F,K13),"")))</f>
        <v>20.389000013</v>
      </c>
      <c r="F13" s="97" t="str">
        <f t="shared" si="0"/>
        <v>4D</v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oco</v>
      </c>
      <c r="B14" s="95" t="str">
        <f>IFERROR(IF(INDEX(Youth!$A:$F,MATCH('Youth Results'!$E14,Youth!$F:$F,0),2)&gt;0,INDEX(Youth!$A:$F,MATCH('Youth Results'!$E14,Youth!$F:$F,0),2),""),"")</f>
        <v>Andrea Hansen</v>
      </c>
      <c r="C14" s="95" t="str">
        <f>IFERROR(IF(INDEX(Youth!$A:$F,MATCH('Youth Results'!$E14,Youth!$F:$F,0),3)&gt;0,INDEX(Youth!$A:$F,MATCH('Youth Results'!$E14,Youth!$F:$F,0),3),""),"")</f>
        <v>Betty</v>
      </c>
      <c r="D14" s="96">
        <f>IFERROR(IF(AND(SMALL(Youth!F:F,K14)&gt;1000,SMALL(Youth!F:F,K14)&lt;3000),"nt",IF(SMALL(Youth!F:F,K14)&gt;3000,"",SMALL(Youth!F:F,K14))),"")</f>
        <v>915.08800000499991</v>
      </c>
      <c r="E14" s="132">
        <f>IF(D14="nt",IFERROR(SMALL(Youth!F:F,K14),""),IF(D14&gt;3000,"",IFERROR(SMALL(Youth!F:F,K14),"")))</f>
        <v>915.08800000499991</v>
      </c>
      <c r="F14" s="97" t="str">
        <f t="shared" si="0"/>
        <v>4D</v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oy</v>
      </c>
      <c r="B15" s="95" t="str">
        <f>IFERROR(IF(INDEX(Youth!$A:$F,MATCH('Youth Results'!$E15,Youth!$F:$F,0),2)&gt;0,INDEX(Youth!$A:$F,MATCH('Youth Results'!$E15,Youth!$F:$F,0),2),""),"")</f>
        <v>Hatty Fey</v>
      </c>
      <c r="C15" s="95" t="str">
        <f>IFERROR(IF(INDEX(Youth!$A:$F,MATCH('Youth Results'!$E15,Youth!$F:$F,0),3)&gt;0,INDEX(Youth!$A:$F,MATCH('Youth Results'!$E15,Youth!$F:$F,0),3),""),"")</f>
        <v>Sage</v>
      </c>
      <c r="D15" s="96">
        <f>IFERROR(IF(AND(SMALL(Youth!F:F,K15)&gt;1000,SMALL(Youth!F:F,K15)&lt;3000),"nt",IF(SMALL(Youth!F:F,K15)&gt;3000,"",SMALL(Youth!F:F,K15))),"")</f>
        <v>915.94400002099997</v>
      </c>
      <c r="E15" s="132">
        <f>IF(D15="nt",IFERROR(SMALL(Youth!F:F,K15),""),IF(D15&gt;3000,"",IFERROR(SMALL(Youth!F:F,K15),"")))</f>
        <v>915.94400002099997</v>
      </c>
      <c r="F15" s="97" t="str">
        <f t="shared" si="0"/>
        <v>4D</v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>oco</v>
      </c>
      <c r="B16" s="95" t="str">
        <f>IFERROR(IF(INDEX(Youth!$A:$F,MATCH('Youth Results'!$E16,Youth!$F:$F,0),2)&gt;0,INDEX(Youth!$A:$F,MATCH('Youth Results'!$E16,Youth!$F:$F,0),2),""),"")</f>
        <v>Jackie Feikema</v>
      </c>
      <c r="C16" s="95" t="str">
        <f>IFERROR(IF(INDEX(Youth!$A:$F,MATCH('Youth Results'!$E16,Youth!$F:$F,0),3)&gt;0,INDEX(Youth!$A:$F,MATCH('Youth Results'!$E16,Youth!$F:$F,0),3),""),"")</f>
        <v>Marked With Chrome</v>
      </c>
      <c r="D16" s="96">
        <f>IFERROR(IF(AND(SMALL(Youth!F:F,K16)&gt;1000,SMALL(Youth!F:F,K16)&lt;3000),"nt",IF(SMALL(Youth!F:F,K16)&gt;3000,"",SMALL(Youth!F:F,K16))),"")</f>
        <v>916.10100000700004</v>
      </c>
      <c r="E16" s="132">
        <f>IF(D16="nt",IFERROR(SMALL(Youth!F:F,K16),""),IF(D16&gt;3000,"",IFERROR(SMALL(Youth!F:F,K16),"")))</f>
        <v>916.10100000700004</v>
      </c>
      <c r="F16" s="97" t="str">
        <f t="shared" si="0"/>
        <v>4D</v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>oy</v>
      </c>
      <c r="B17" s="95" t="str">
        <f>IFERROR(IF(INDEX(Youth!$A:$F,MATCH('Youth Results'!$E17,Youth!$F:$F,0),2)&gt;0,INDEX(Youth!$A:$F,MATCH('Youth Results'!$E17,Youth!$F:$F,0),2),""),"")</f>
        <v>Eva Schafer</v>
      </c>
      <c r="C17" s="95" t="str">
        <f>IFERROR(IF(INDEX(Youth!$A:$F,MATCH('Youth Results'!$E17,Youth!$F:$F,0),3)&gt;0,INDEX(Youth!$A:$F,MATCH('Youth Results'!$E17,Youth!$F:$F,0),3),""),"")</f>
        <v>Zipper</v>
      </c>
      <c r="D17" s="96">
        <f>IFERROR(IF(AND(SMALL(Youth!F:F,K17)&gt;1000,SMALL(Youth!F:F,K17)&lt;3000),"nt",IF(SMALL(Youth!F:F,K17)&gt;3000,"",SMALL(Youth!F:F,K17))),"")</f>
        <v>916.95900001699999</v>
      </c>
      <c r="E17" s="132">
        <f>IF(D17="nt",IFERROR(SMALL(Youth!F:F,K17),""),IF(D17&gt;3000,"",IFERROR(SMALL(Youth!F:F,K17),"")))</f>
        <v>916.95900001699999</v>
      </c>
      <c r="F17" s="97" t="str">
        <f t="shared" si="0"/>
        <v>4D</v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>oco</v>
      </c>
      <c r="B18" s="95" t="str">
        <f>IFERROR(IF(INDEX(Youth!$A:$F,MATCH('Youth Results'!$E18,Youth!$F:$F,0),2)&gt;0,INDEX(Youth!$A:$F,MATCH('Youth Results'!$E18,Youth!$F:$F,0),2),""),"")</f>
        <v>Candice Aamot</v>
      </c>
      <c r="C18" s="95" t="str">
        <f>IFERROR(IF(INDEX(Youth!$A:$F,MATCH('Youth Results'!$E18,Youth!$F:$F,0),3)&gt;0,INDEX(Youth!$A:$F,MATCH('Youth Results'!$E18,Youth!$F:$F,0),3),""),"")</f>
        <v>Streaker</v>
      </c>
      <c r="D18" s="96" t="str">
        <f>IFERROR(IF(AND(SMALL(Youth!F:F,K18)&gt;1000,SMALL(Youth!F:F,K18)&lt;3000),"nt",IF(SMALL(Youth!F:F,K18)&gt;3000,"",SMALL(Youth!F:F,K18))),"")</f>
        <v>nt</v>
      </c>
      <c r="E18" s="132">
        <f>IF(D18="nt",IFERROR(SMALL(Youth!F:F,K18),""),IF(D18&gt;3000,"",IFERROR(SMALL(Youth!F:F,K18),"")))</f>
        <v>1000.000000001</v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 &amp; Exh. 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2024-04-13T20:09:21Z</cp:lastPrinted>
  <dcterms:created xsi:type="dcterms:W3CDTF">2016-10-21T03:48:16Z</dcterms:created>
  <dcterms:modified xsi:type="dcterms:W3CDTF">2024-04-18T15:49:15Z</dcterms:modified>
</cp:coreProperties>
</file>